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Objects="none" defaultThemeVersion="124226"/>
  <bookViews>
    <workbookView xWindow="-15" yWindow="-15" windowWidth="8010" windowHeight="10245"/>
  </bookViews>
  <sheets>
    <sheet name="Coûts" sheetId="1" r:id="rId1"/>
    <sheet name="Gestion des Stocks" sheetId="2" r:id="rId2"/>
    <sheet name="Charges Directes-Indirectes" sheetId="3" r:id="rId3"/>
    <sheet name="Coûts Complets" sheetId="4" r:id="rId4"/>
    <sheet name="Direct Costing" sheetId="6" r:id="rId5"/>
  </sheets>
  <calcPr calcId="125725"/>
</workbook>
</file>

<file path=xl/calcChain.xml><?xml version="1.0" encoding="utf-8"?>
<calcChain xmlns="http://schemas.openxmlformats.org/spreadsheetml/2006/main">
  <c r="E14" i="6"/>
  <c r="D14"/>
  <c r="E19" i="1"/>
  <c r="D19"/>
  <c r="C19"/>
  <c r="B19"/>
  <c r="F34"/>
  <c r="F41"/>
  <c r="F40"/>
  <c r="D35"/>
  <c r="D37"/>
  <c r="E37"/>
  <c r="C37"/>
  <c r="G36" i="2" l="1"/>
  <c r="R12"/>
  <c r="X12" s="1"/>
  <c r="T12"/>
  <c r="U12" s="1"/>
  <c r="V12"/>
  <c r="F28" i="1"/>
  <c r="F47"/>
  <c r="F13"/>
  <c r="F9"/>
  <c r="F8"/>
  <c r="H18" i="4"/>
  <c r="G18"/>
  <c r="F18"/>
  <c r="E13"/>
  <c r="D10"/>
  <c r="B6"/>
  <c r="C7"/>
  <c r="I8"/>
  <c r="I9" s="1"/>
  <c r="E12" i="2"/>
  <c r="E13"/>
  <c r="E14"/>
  <c r="E15"/>
  <c r="E16"/>
  <c r="E24"/>
  <c r="E43"/>
  <c r="E62"/>
  <c r="E11"/>
  <c r="D6" i="6"/>
  <c r="E30" i="4"/>
  <c r="E35"/>
  <c r="D32"/>
  <c r="C29"/>
  <c r="B28"/>
  <c r="Y12" i="2" l="1"/>
  <c r="W12"/>
  <c r="I30" i="4"/>
  <c r="I31" s="1"/>
  <c r="D3" i="6" l="1"/>
  <c r="J11" i="2" l="1"/>
  <c r="J17" s="1"/>
  <c r="J23" s="1"/>
  <c r="J29" s="1"/>
  <c r="J35" s="1"/>
  <c r="J12"/>
  <c r="J18" s="1"/>
  <c r="J24" s="1"/>
  <c r="J30" s="1"/>
  <c r="J13"/>
  <c r="J19" s="1"/>
  <c r="J25" s="1"/>
  <c r="J31" s="1"/>
  <c r="J37" s="1"/>
  <c r="J14"/>
  <c r="J20" s="1"/>
  <c r="J26" s="1"/>
  <c r="J32" s="1"/>
  <c r="J38" s="1"/>
  <c r="J15"/>
  <c r="J21" s="1"/>
  <c r="J27" s="1"/>
  <c r="J33" s="1"/>
  <c r="J39" s="1"/>
  <c r="J16"/>
  <c r="J22" s="1"/>
  <c r="J28" s="1"/>
  <c r="J34" s="1"/>
  <c r="J40" s="1"/>
  <c r="K16"/>
  <c r="E22" s="1"/>
  <c r="K15"/>
  <c r="E21" s="1"/>
  <c r="K14"/>
  <c r="E20" s="1"/>
  <c r="K13"/>
  <c r="E19" s="1"/>
  <c r="K12"/>
  <c r="E18" s="1"/>
  <c r="K11"/>
  <c r="E17" s="1"/>
  <c r="L6"/>
  <c r="L7"/>
  <c r="L8"/>
  <c r="L9"/>
  <c r="L10"/>
  <c r="H12" l="1"/>
  <c r="I12" s="1"/>
  <c r="H16"/>
  <c r="I16" s="1"/>
  <c r="H15"/>
  <c r="I15" s="1"/>
  <c r="H14"/>
  <c r="I14" s="1"/>
  <c r="H13"/>
  <c r="I13" s="1"/>
  <c r="J41"/>
  <c r="J36"/>
  <c r="L11"/>
  <c r="L14"/>
  <c r="F14"/>
  <c r="L15"/>
  <c r="F15"/>
  <c r="F12"/>
  <c r="F16"/>
  <c r="H11"/>
  <c r="I11" s="1"/>
  <c r="L13"/>
  <c r="F13"/>
  <c r="F11"/>
  <c r="J47" l="1"/>
  <c r="J53" s="1"/>
  <c r="J46"/>
  <c r="J42"/>
  <c r="J43"/>
  <c r="J45"/>
  <c r="J44"/>
  <c r="L12"/>
  <c r="K17"/>
  <c r="E23" s="1"/>
  <c r="F17"/>
  <c r="L16"/>
  <c r="F22"/>
  <c r="K22"/>
  <c r="E28" s="1"/>
  <c r="F19"/>
  <c r="K19"/>
  <c r="E25" s="1"/>
  <c r="J59" l="1"/>
  <c r="H17"/>
  <c r="I17" s="1"/>
  <c r="K25"/>
  <c r="E31" s="1"/>
  <c r="F25"/>
  <c r="K28"/>
  <c r="E34" s="1"/>
  <c r="F28"/>
  <c r="J48"/>
  <c r="J51"/>
  <c r="J57" s="1"/>
  <c r="J50"/>
  <c r="J56" s="1"/>
  <c r="J49"/>
  <c r="J52"/>
  <c r="J58" s="1"/>
  <c r="M11"/>
  <c r="K18"/>
  <c r="F18"/>
  <c r="H22"/>
  <c r="I22" s="1"/>
  <c r="L22"/>
  <c r="K20"/>
  <c r="E26" s="1"/>
  <c r="F20"/>
  <c r="H19"/>
  <c r="I19" s="1"/>
  <c r="L19"/>
  <c r="K21"/>
  <c r="E27" s="1"/>
  <c r="F21"/>
  <c r="L28" l="1"/>
  <c r="L25"/>
  <c r="J64"/>
  <c r="G54"/>
  <c r="J65"/>
  <c r="J63"/>
  <c r="J62"/>
  <c r="K23"/>
  <c r="E29" s="1"/>
  <c r="F23"/>
  <c r="K27"/>
  <c r="E33" s="1"/>
  <c r="F27"/>
  <c r="K26"/>
  <c r="E32" s="1"/>
  <c r="F26"/>
  <c r="H18"/>
  <c r="I18" s="1"/>
  <c r="H25"/>
  <c r="I25" s="1"/>
  <c r="H28"/>
  <c r="I28" s="1"/>
  <c r="H21"/>
  <c r="I21" s="1"/>
  <c r="L21"/>
  <c r="L18"/>
  <c r="H20"/>
  <c r="I20" s="1"/>
  <c r="L20"/>
  <c r="J70" l="1"/>
  <c r="G55"/>
  <c r="J71"/>
  <c r="J69"/>
  <c r="J54"/>
  <c r="H23"/>
  <c r="I23" s="1"/>
  <c r="K24"/>
  <c r="E30" s="1"/>
  <c r="F24"/>
  <c r="H27"/>
  <c r="I27" s="1"/>
  <c r="L27"/>
  <c r="K34"/>
  <c r="E40" s="1"/>
  <c r="F34"/>
  <c r="H26"/>
  <c r="I26" s="1"/>
  <c r="L26"/>
  <c r="K31"/>
  <c r="E37" s="1"/>
  <c r="F31"/>
  <c r="J60" l="1"/>
  <c r="J76"/>
  <c r="J55"/>
  <c r="J75"/>
  <c r="K29"/>
  <c r="E35" s="1"/>
  <c r="F29"/>
  <c r="K32"/>
  <c r="E38" s="1"/>
  <c r="F32"/>
  <c r="H24"/>
  <c r="I24" s="1"/>
  <c r="L24"/>
  <c r="H34"/>
  <c r="I34" s="1"/>
  <c r="L34"/>
  <c r="H31"/>
  <c r="I31" s="1"/>
  <c r="L31"/>
  <c r="K33"/>
  <c r="E39" s="1"/>
  <c r="F33"/>
  <c r="J61" l="1"/>
  <c r="J66"/>
  <c r="H29"/>
  <c r="I29" s="1"/>
  <c r="K40"/>
  <c r="E46" s="1"/>
  <c r="F40"/>
  <c r="H33"/>
  <c r="I33" s="1"/>
  <c r="L33"/>
  <c r="K37"/>
  <c r="F37"/>
  <c r="H32"/>
  <c r="I32" s="1"/>
  <c r="L32"/>
  <c r="K30"/>
  <c r="E36" s="1"/>
  <c r="F30"/>
  <c r="G67" l="1"/>
  <c r="J67" s="1"/>
  <c r="J72"/>
  <c r="K35"/>
  <c r="E41" s="1"/>
  <c r="F35"/>
  <c r="K38"/>
  <c r="E44" s="1"/>
  <c r="F38"/>
  <c r="H40"/>
  <c r="I40" s="1"/>
  <c r="L40"/>
  <c r="H37"/>
  <c r="I37" s="1"/>
  <c r="L37"/>
  <c r="H30"/>
  <c r="I30" s="1"/>
  <c r="L30"/>
  <c r="K39"/>
  <c r="E45" s="1"/>
  <c r="F39"/>
  <c r="J73" l="1"/>
  <c r="G68"/>
  <c r="H35"/>
  <c r="I35" s="1"/>
  <c r="L35"/>
  <c r="H38"/>
  <c r="I38" s="1"/>
  <c r="L38"/>
  <c r="K36"/>
  <c r="E42" s="1"/>
  <c r="F36"/>
  <c r="K46"/>
  <c r="E52" s="1"/>
  <c r="F46"/>
  <c r="K43"/>
  <c r="E49" s="1"/>
  <c r="F43"/>
  <c r="H39"/>
  <c r="I39" s="1"/>
  <c r="L39"/>
  <c r="L5"/>
  <c r="M5" s="1"/>
  <c r="G6" i="3"/>
  <c r="E42" i="1"/>
  <c r="E29"/>
  <c r="D27"/>
  <c r="D29" s="1"/>
  <c r="E27"/>
  <c r="F26"/>
  <c r="F25"/>
  <c r="F38"/>
  <c r="F36"/>
  <c r="C35"/>
  <c r="D39"/>
  <c r="D42" s="1"/>
  <c r="E35"/>
  <c r="E39" s="1"/>
  <c r="B35"/>
  <c r="C66"/>
  <c r="D66"/>
  <c r="D68" s="1"/>
  <c r="E66"/>
  <c r="E68" s="1"/>
  <c r="B66"/>
  <c r="B68" s="1"/>
  <c r="F67"/>
  <c r="F64"/>
  <c r="F65"/>
  <c r="F63"/>
  <c r="B57"/>
  <c r="F56" s="1"/>
  <c r="F57" s="1"/>
  <c r="D56"/>
  <c r="D55"/>
  <c r="F20"/>
  <c r="F21"/>
  <c r="F22"/>
  <c r="F23"/>
  <c r="F24"/>
  <c r="B49"/>
  <c r="F48" s="1"/>
  <c r="D47"/>
  <c r="C68" l="1"/>
  <c r="F66"/>
  <c r="F68" s="1"/>
  <c r="J68" i="2"/>
  <c r="K41"/>
  <c r="E47" s="1"/>
  <c r="F41"/>
  <c r="K44"/>
  <c r="E50" s="1"/>
  <c r="F44"/>
  <c r="K45"/>
  <c r="E51" s="1"/>
  <c r="F45"/>
  <c r="H46"/>
  <c r="I46" s="1"/>
  <c r="L46"/>
  <c r="H43"/>
  <c r="I43" s="1"/>
  <c r="L43"/>
  <c r="H36"/>
  <c r="I36" s="1"/>
  <c r="L36"/>
  <c r="M35" s="1"/>
  <c r="F35" i="1"/>
  <c r="D57"/>
  <c r="F49"/>
  <c r="G55" l="1"/>
  <c r="G56" s="1"/>
  <c r="G57" s="1"/>
  <c r="H57" s="1"/>
  <c r="C57"/>
  <c r="J74" i="2"/>
  <c r="H41"/>
  <c r="I41" s="1"/>
  <c r="L41"/>
  <c r="K52"/>
  <c r="E58" s="1"/>
  <c r="F52"/>
  <c r="H45"/>
  <c r="I45" s="1"/>
  <c r="L45"/>
  <c r="K42"/>
  <c r="E48" s="1"/>
  <c r="F42"/>
  <c r="K49"/>
  <c r="E55" s="1"/>
  <c r="F49"/>
  <c r="H44"/>
  <c r="I44" s="1"/>
  <c r="L44"/>
  <c r="H56" i="1"/>
  <c r="H55" l="1"/>
  <c r="K58" i="2"/>
  <c r="E64" s="1"/>
  <c r="F58"/>
  <c r="K55"/>
  <c r="E61" s="1"/>
  <c r="F55"/>
  <c r="K47"/>
  <c r="E53" s="1"/>
  <c r="F47"/>
  <c r="H42"/>
  <c r="I42" s="1"/>
  <c r="L42"/>
  <c r="M41" s="1"/>
  <c r="K50"/>
  <c r="E56" s="1"/>
  <c r="F50"/>
  <c r="H52"/>
  <c r="I52" s="1"/>
  <c r="L52"/>
  <c r="H49"/>
  <c r="I49" s="1"/>
  <c r="L49"/>
  <c r="K51"/>
  <c r="E57" s="1"/>
  <c r="F51"/>
  <c r="K57" l="1"/>
  <c r="E63" s="1"/>
  <c r="F57"/>
  <c r="H58"/>
  <c r="I58" s="1"/>
  <c r="L58"/>
  <c r="K53"/>
  <c r="E59" s="1"/>
  <c r="F53"/>
  <c r="K56"/>
  <c r="F56"/>
  <c r="H55"/>
  <c r="I55" s="1"/>
  <c r="L55"/>
  <c r="H47"/>
  <c r="I47" s="1"/>
  <c r="L47"/>
  <c r="H51"/>
  <c r="I51" s="1"/>
  <c r="L51"/>
  <c r="K48"/>
  <c r="E54" s="1"/>
  <c r="F48"/>
  <c r="H50"/>
  <c r="I50" s="1"/>
  <c r="L50"/>
  <c r="D33" i="6"/>
  <c r="D20"/>
  <c r="D8"/>
  <c r="D10" s="1"/>
  <c r="D12" l="1"/>
  <c r="E12" s="1"/>
  <c r="D13" s="1"/>
  <c r="D17"/>
  <c r="E17" s="1"/>
  <c r="F61" i="2"/>
  <c r="K61"/>
  <c r="E67" s="1"/>
  <c r="F54"/>
  <c r="K54"/>
  <c r="E60" s="1"/>
  <c r="H57"/>
  <c r="I57" s="1"/>
  <c r="L57"/>
  <c r="H53"/>
  <c r="I53" s="1"/>
  <c r="L53"/>
  <c r="H56"/>
  <c r="I56" s="1"/>
  <c r="L56"/>
  <c r="F64"/>
  <c r="K64"/>
  <c r="E70" s="1"/>
  <c r="H48"/>
  <c r="I48" s="1"/>
  <c r="L48"/>
  <c r="M47" s="1"/>
  <c r="D24" i="6"/>
  <c r="D6" i="3"/>
  <c r="D7"/>
  <c r="H30" i="4"/>
  <c r="H31" s="1"/>
  <c r="F30"/>
  <c r="F31" s="1"/>
  <c r="E31"/>
  <c r="D8"/>
  <c r="D9" s="1"/>
  <c r="I11" s="1"/>
  <c r="I12" s="1"/>
  <c r="E8"/>
  <c r="F8"/>
  <c r="G8"/>
  <c r="H8"/>
  <c r="C8"/>
  <c r="C9" s="1"/>
  <c r="K63" i="2" l="1"/>
  <c r="E69" s="1"/>
  <c r="F63"/>
  <c r="H61"/>
  <c r="I61" s="1"/>
  <c r="L61"/>
  <c r="H64"/>
  <c r="I64" s="1"/>
  <c r="L64"/>
  <c r="K62"/>
  <c r="E68" s="1"/>
  <c r="F62"/>
  <c r="F59"/>
  <c r="K59"/>
  <c r="E65" s="1"/>
  <c r="H54"/>
  <c r="I54" s="1"/>
  <c r="L54"/>
  <c r="M53" s="1"/>
  <c r="D21" i="6"/>
  <c r="D22" s="1"/>
  <c r="H9" i="4"/>
  <c r="G9"/>
  <c r="E9"/>
  <c r="G30"/>
  <c r="G31" s="1"/>
  <c r="G11"/>
  <c r="F11"/>
  <c r="H11"/>
  <c r="E11"/>
  <c r="F9"/>
  <c r="H62" i="2" l="1"/>
  <c r="I62" s="1"/>
  <c r="L62"/>
  <c r="H63"/>
  <c r="I63" s="1"/>
  <c r="L63"/>
  <c r="F60"/>
  <c r="K60"/>
  <c r="E66" s="1"/>
  <c r="F70"/>
  <c r="K70"/>
  <c r="E76" s="1"/>
  <c r="F67"/>
  <c r="K67"/>
  <c r="E73" s="1"/>
  <c r="H59"/>
  <c r="I59" s="1"/>
  <c r="L59"/>
  <c r="D11" i="4"/>
  <c r="D12" s="1"/>
  <c r="E12"/>
  <c r="I14" s="1"/>
  <c r="I15" s="1"/>
  <c r="I19" s="1"/>
  <c r="C30"/>
  <c r="C31" s="1"/>
  <c r="D30"/>
  <c r="D31" s="1"/>
  <c r="I33" s="1"/>
  <c r="I34" s="1"/>
  <c r="G12"/>
  <c r="H12"/>
  <c r="F12"/>
  <c r="B37" i="1" l="1"/>
  <c r="C39"/>
  <c r="C42" s="1"/>
  <c r="F68" i="2"/>
  <c r="K68"/>
  <c r="E74" s="1"/>
  <c r="K69"/>
  <c r="E75" s="1"/>
  <c r="F69"/>
  <c r="F65"/>
  <c r="K65"/>
  <c r="E71" s="1"/>
  <c r="H70"/>
  <c r="I70" s="1"/>
  <c r="L70"/>
  <c r="H67"/>
  <c r="I67" s="1"/>
  <c r="L67"/>
  <c r="H60"/>
  <c r="I60" s="1"/>
  <c r="L60"/>
  <c r="M59" s="1"/>
  <c r="E33" i="4"/>
  <c r="E34" s="1"/>
  <c r="I36" s="1"/>
  <c r="I37" s="1"/>
  <c r="I41" s="1"/>
  <c r="F14"/>
  <c r="F15" s="1"/>
  <c r="F19" s="1"/>
  <c r="B10" i="1" s="1"/>
  <c r="H14" i="4"/>
  <c r="H15" s="1"/>
  <c r="H19" s="1"/>
  <c r="E14"/>
  <c r="E15" s="1"/>
  <c r="G14"/>
  <c r="G15" s="1"/>
  <c r="G19" s="1"/>
  <c r="F33"/>
  <c r="F34" s="1"/>
  <c r="H33"/>
  <c r="H34" s="1"/>
  <c r="G33"/>
  <c r="G34" s="1"/>
  <c r="C20" i="3"/>
  <c r="C16"/>
  <c r="G7"/>
  <c r="H7" s="1"/>
  <c r="H6"/>
  <c r="H5"/>
  <c r="H4"/>
  <c r="E6"/>
  <c r="C18" s="1"/>
  <c r="E5"/>
  <c r="C17" s="1"/>
  <c r="E4"/>
  <c r="E7"/>
  <c r="F37" i="1" l="1"/>
  <c r="B39"/>
  <c r="C10"/>
  <c r="B11"/>
  <c r="B15" i="4"/>
  <c r="K73" i="2"/>
  <c r="F73"/>
  <c r="H65"/>
  <c r="I65" s="1"/>
  <c r="L65"/>
  <c r="H68"/>
  <c r="I68" s="1"/>
  <c r="L68"/>
  <c r="H69"/>
  <c r="I69" s="1"/>
  <c r="L69"/>
  <c r="K76"/>
  <c r="F76"/>
  <c r="K66"/>
  <c r="E72" s="1"/>
  <c r="F66"/>
  <c r="F36" i="4"/>
  <c r="F37" s="1"/>
  <c r="D36"/>
  <c r="G36"/>
  <c r="G37" s="1"/>
  <c r="G41" s="1"/>
  <c r="D33"/>
  <c r="D34" s="1"/>
  <c r="E36"/>
  <c r="E37" s="1"/>
  <c r="H36"/>
  <c r="H37" s="1"/>
  <c r="H41" s="1"/>
  <c r="C19" i="3"/>
  <c r="H8"/>
  <c r="H9" s="1"/>
  <c r="E8"/>
  <c r="B42" i="1" l="1"/>
  <c r="F42" s="1"/>
  <c r="F39"/>
  <c r="C11"/>
  <c r="C12" s="1"/>
  <c r="C14" s="1"/>
  <c r="D10"/>
  <c r="B12"/>
  <c r="H66" i="2"/>
  <c r="I66" s="1"/>
  <c r="L66"/>
  <c r="M65" s="1"/>
  <c r="K75"/>
  <c r="F75"/>
  <c r="F74"/>
  <c r="K74"/>
  <c r="H76"/>
  <c r="I76" s="1"/>
  <c r="L76"/>
  <c r="K71"/>
  <c r="F71"/>
  <c r="H73"/>
  <c r="I73" s="1"/>
  <c r="L73"/>
  <c r="D37" i="4"/>
  <c r="B37" s="1"/>
  <c r="F41"/>
  <c r="H11" i="3"/>
  <c r="E9"/>
  <c r="E11"/>
  <c r="R8" i="2"/>
  <c r="R9"/>
  <c r="R10"/>
  <c r="R11"/>
  <c r="R7"/>
  <c r="T6"/>
  <c r="U6" s="1"/>
  <c r="V6"/>
  <c r="V7" s="1"/>
  <c r="V8" s="1"/>
  <c r="V9" s="1"/>
  <c r="V10" s="1"/>
  <c r="V11" s="1"/>
  <c r="R6"/>
  <c r="X5"/>
  <c r="Y5" s="1"/>
  <c r="U5"/>
  <c r="R5"/>
  <c r="B72" i="1"/>
  <c r="B75"/>
  <c r="B73"/>
  <c r="B74" s="1"/>
  <c r="B14" l="1"/>
  <c r="D11"/>
  <c r="E10"/>
  <c r="E11" s="1"/>
  <c r="E12" s="1"/>
  <c r="E14" s="1"/>
  <c r="H71" i="2"/>
  <c r="I71" s="1"/>
  <c r="L71"/>
  <c r="K72"/>
  <c r="F72"/>
  <c r="H74"/>
  <c r="I74" s="1"/>
  <c r="L74"/>
  <c r="H75"/>
  <c r="I75" s="1"/>
  <c r="L75"/>
  <c r="E13" i="3"/>
  <c r="X6" i="2"/>
  <c r="W6" s="1"/>
  <c r="D12" i="1" l="1"/>
  <c r="F11"/>
  <c r="C48"/>
  <c r="D48" s="1"/>
  <c r="D49" s="1"/>
  <c r="C49" s="1"/>
  <c r="H72" i="2"/>
  <c r="I72" s="1"/>
  <c r="L72"/>
  <c r="M71" s="1"/>
  <c r="Y6"/>
  <c r="T7"/>
  <c r="U7" s="1"/>
  <c r="X7" s="1"/>
  <c r="D14" i="1" l="1"/>
  <c r="F14" s="1"/>
  <c r="F12"/>
  <c r="C27"/>
  <c r="C29" s="1"/>
  <c r="G47"/>
  <c r="W7" i="2"/>
  <c r="T8" s="1"/>
  <c r="U8" s="1"/>
  <c r="X8" s="1"/>
  <c r="Y8" s="1"/>
  <c r="Y7"/>
  <c r="H47" i="1" l="1"/>
  <c r="G48"/>
  <c r="F19"/>
  <c r="B27"/>
  <c r="W8" i="2"/>
  <c r="T9" s="1"/>
  <c r="U9" s="1"/>
  <c r="X9" s="1"/>
  <c r="W9" s="1"/>
  <c r="T10" s="1"/>
  <c r="U10" s="1"/>
  <c r="X10" s="1"/>
  <c r="B29" i="1" l="1"/>
  <c r="F29" s="1"/>
  <c r="F27"/>
  <c r="H48"/>
  <c r="G49"/>
  <c r="H49" s="1"/>
  <c r="Y9" i="2"/>
  <c r="W10"/>
  <c r="T11" s="1"/>
  <c r="U11" s="1"/>
  <c r="X11" s="1"/>
  <c r="W11" s="1"/>
  <c r="Y10"/>
  <c r="Y11" l="1"/>
  <c r="L17" l="1"/>
  <c r="M17" s="1"/>
  <c r="L23" l="1"/>
  <c r="M23" s="1"/>
  <c r="L29"/>
  <c r="M29" s="1"/>
</calcChain>
</file>

<file path=xl/sharedStrings.xml><?xml version="1.0" encoding="utf-8"?>
<sst xmlns="http://schemas.openxmlformats.org/spreadsheetml/2006/main" count="234" uniqueCount="167">
  <si>
    <t>Coût d'achat</t>
  </si>
  <si>
    <t>Prix d'achat</t>
  </si>
  <si>
    <t>Prix d'achat + frais d'achat + frais de fabrication + frais de vente</t>
  </si>
  <si>
    <t>Prix d'achat + frais d'approvisionnement</t>
  </si>
  <si>
    <t>Coût d'achat + Frais de fabrication des produits fabriqués</t>
  </si>
  <si>
    <t>Coût de revient</t>
  </si>
  <si>
    <t>Coût de production</t>
  </si>
  <si>
    <t>Coût de production des produits vendus + Frais de distribution des produits vendus</t>
  </si>
  <si>
    <t>Frais d'achat</t>
  </si>
  <si>
    <t>Frais de fabrication</t>
  </si>
  <si>
    <t>Frais de vente</t>
  </si>
  <si>
    <t>Frais d'approvisionnement</t>
  </si>
  <si>
    <t>Frais de fabrication des produits fabriqués</t>
  </si>
  <si>
    <t>Coût de production des produits vendus</t>
  </si>
  <si>
    <t>Frais de distribution des produits vendus</t>
  </si>
  <si>
    <t>IN</t>
  </si>
  <si>
    <t>OUT</t>
  </si>
  <si>
    <t>SOLDE</t>
  </si>
  <si>
    <t>BILAN</t>
  </si>
  <si>
    <t>CMUP</t>
  </si>
  <si>
    <t>Nombres Produits A</t>
  </si>
  <si>
    <t>Nombres Produits B</t>
  </si>
  <si>
    <t>Produit</t>
  </si>
  <si>
    <t>A</t>
  </si>
  <si>
    <t>B</t>
  </si>
  <si>
    <t>MP</t>
  </si>
  <si>
    <t>Ch Directes</t>
  </si>
  <si>
    <t>Ch InDirectes (1) - H main d'Œuvre</t>
  </si>
  <si>
    <t>en proportion des heures de main d’œuvre directe = 4000/6000</t>
  </si>
  <si>
    <t>Ch InDirectes (2) - Unité Bonne Fab</t>
  </si>
  <si>
    <t>en fonction des unités bonnes fabriquées = 15000/35000</t>
  </si>
  <si>
    <t>Coût de revient - CR</t>
  </si>
  <si>
    <t>Coût de revient Unitaire - CRU</t>
  </si>
  <si>
    <t>Coût Analytique - CA</t>
  </si>
  <si>
    <t>Résultat Analytique (Ca -CR)</t>
  </si>
  <si>
    <t>Somme Ra</t>
  </si>
  <si>
    <t>Résultat</t>
  </si>
  <si>
    <t>CA</t>
  </si>
  <si>
    <t>Charges Directes</t>
  </si>
  <si>
    <t>Charges Indirectes</t>
  </si>
  <si>
    <t>Somme</t>
  </si>
  <si>
    <t>RA</t>
  </si>
  <si>
    <t>Section auxiliaire</t>
  </si>
  <si>
    <t>Section principale</t>
  </si>
  <si>
    <t>Nature de l'unité d'œuvre</t>
  </si>
  <si>
    <t>nombre d'UO</t>
  </si>
  <si>
    <t>coût d'UO</t>
  </si>
  <si>
    <t>Quantité de charges indirectes ajoutée lorsqu'un article passe par l'atelier A</t>
  </si>
  <si>
    <t>Quantité de charges indirectes ajoutée lorsqu'un article passe par l'atelier B</t>
  </si>
  <si>
    <t>Taux de frais</t>
  </si>
  <si>
    <t>Pour réaliser 100€ de chiffre d'affaire, il faut prévoir 1€ au titre de mes frais indirects</t>
  </si>
  <si>
    <t>Doit être égal à 0</t>
  </si>
  <si>
    <t>Prestation Réciproque</t>
  </si>
  <si>
    <t>Données</t>
  </si>
  <si>
    <t>Prix Unitaire</t>
  </si>
  <si>
    <t>Commission</t>
  </si>
  <si>
    <t>100% quand non utilisé</t>
  </si>
  <si>
    <t>Charges Fixes</t>
  </si>
  <si>
    <t>Pour le mois</t>
  </si>
  <si>
    <t>Charges Variables</t>
  </si>
  <si>
    <t>Pour une unité</t>
  </si>
  <si>
    <t>Calculs</t>
  </si>
  <si>
    <t xml:space="preserve">Gain </t>
  </si>
  <si>
    <t>Seuil de Rentabilité</t>
  </si>
  <si>
    <t>Pour un Bénéfice X</t>
  </si>
  <si>
    <t>Bénéfice Recherché</t>
  </si>
  <si>
    <t>Infos Supplémentaires</t>
  </si>
  <si>
    <t>Quantité vendu</t>
  </si>
  <si>
    <t>Chiffre d'affaires</t>
  </si>
  <si>
    <t>Marge de Sécurité Absolue</t>
  </si>
  <si>
    <t>Marge de Sécurité Relative</t>
  </si>
  <si>
    <t>Calculs Inverses</t>
  </si>
  <si>
    <t>Argent disponible</t>
  </si>
  <si>
    <t>Unité possible de produire</t>
  </si>
  <si>
    <t>Valeur Arrondie</t>
  </si>
  <si>
    <t>Seuil de Rentabilité en €</t>
  </si>
  <si>
    <t>Coûts d'achats</t>
  </si>
  <si>
    <t>TOTAL</t>
  </si>
  <si>
    <t>M1</t>
  </si>
  <si>
    <t>M2</t>
  </si>
  <si>
    <t>M3</t>
  </si>
  <si>
    <t>M4</t>
  </si>
  <si>
    <t>Achats</t>
  </si>
  <si>
    <t>QUANTITÉ</t>
  </si>
  <si>
    <t>COÛT UNITAIRE</t>
  </si>
  <si>
    <t>Ne pas copier un de ces tableaux sur une colonne différente.</t>
  </si>
  <si>
    <t>IL FAUT LE COPIER SUR LA MÊME COLONNE PUIS LE COUPER-COLLER.</t>
  </si>
  <si>
    <t>Stock initial</t>
  </si>
  <si>
    <t>Consommation</t>
  </si>
  <si>
    <t>Stock final</t>
  </si>
  <si>
    <t>Stocks de Matières Premières</t>
  </si>
  <si>
    <t>Quantité</t>
  </si>
  <si>
    <t>Prix</t>
  </si>
  <si>
    <t>Q*P</t>
  </si>
  <si>
    <t>P1</t>
  </si>
  <si>
    <t>Consommation M1</t>
  </si>
  <si>
    <t>Consommation M2</t>
  </si>
  <si>
    <t>Consommation M3</t>
  </si>
  <si>
    <t>Consommation M4</t>
  </si>
  <si>
    <t>Charges Indirectes de Fabrication</t>
  </si>
  <si>
    <t>Charges Directes de Fabrication</t>
  </si>
  <si>
    <t>P2</t>
  </si>
  <si>
    <t>P3</t>
  </si>
  <si>
    <t>P4</t>
  </si>
  <si>
    <t>Stocks de Produits Finis</t>
  </si>
  <si>
    <t>Fabrication</t>
  </si>
  <si>
    <t>Vente</t>
  </si>
  <si>
    <t>Détermination des Coûts de Revient et Résultats</t>
  </si>
  <si>
    <t>Charges Indirectes de Distribution</t>
  </si>
  <si>
    <t>Charges Directes de Distribution</t>
  </si>
  <si>
    <t>COÛT DE REVIENT</t>
  </si>
  <si>
    <t>CHIFFRE D'AFFAIRES</t>
  </si>
  <si>
    <t>RÉSULTAT ANALYTIQUE</t>
  </si>
  <si>
    <t>Voir aussi : Détermination des Coûts de Revient et Résultats</t>
  </si>
  <si>
    <t>Commissions sur Ventes (%)</t>
  </si>
  <si>
    <t>Commissions sur Ventes (€)</t>
  </si>
  <si>
    <t>PRIX</t>
  </si>
  <si>
    <t>Publicité</t>
  </si>
  <si>
    <t>Case à modifier</t>
  </si>
  <si>
    <t>Coûts de Distribution</t>
  </si>
  <si>
    <t>Coûts de Production des Produits Finis</t>
  </si>
  <si>
    <t>Case à ne pas modifier (formule)</t>
  </si>
  <si>
    <t>Charges Indirectes de Conditionnement</t>
  </si>
  <si>
    <t>Charges Directes de Conditionnement</t>
  </si>
  <si>
    <t>Colonne B</t>
  </si>
  <si>
    <t>Seuil</t>
  </si>
  <si>
    <t>avant</t>
  </si>
  <si>
    <t>FIFO/LIFO</t>
  </si>
  <si>
    <t>Pour différencier FIFO de LIFO, il suffit lorsqu'on enlève, d'enlever de la case bleu la plus en haut pour FIFO, la plus en bas pour LIFO</t>
  </si>
  <si>
    <t>Paul DE TEMMERMAN</t>
  </si>
  <si>
    <t>Clément GEORGEL</t>
  </si>
  <si>
    <t>2k13</t>
  </si>
  <si>
    <t>Charges Variables Unitaires</t>
  </si>
  <si>
    <t>SA2</t>
  </si>
  <si>
    <t>SA1</t>
  </si>
  <si>
    <t>SA3</t>
  </si>
  <si>
    <t>achat</t>
  </si>
  <si>
    <t>atelier a</t>
  </si>
  <si>
    <t>atelier b</t>
  </si>
  <si>
    <t>commercial</t>
  </si>
  <si>
    <t>Tonne</t>
  </si>
  <si>
    <t>heure MO D</t>
  </si>
  <si>
    <t>M^2</t>
  </si>
  <si>
    <t>100€ CA</t>
  </si>
  <si>
    <t>Utimate Tableur de Compta Analytique</t>
  </si>
  <si>
    <t>admin</t>
  </si>
  <si>
    <t>appro</t>
  </si>
  <si>
    <t>fab</t>
  </si>
  <si>
    <t>cond</t>
  </si>
  <si>
    <t>com</t>
  </si>
  <si>
    <t>100€ achat</t>
  </si>
  <si>
    <t>heures/mo d</t>
  </si>
  <si>
    <t>heures machine</t>
  </si>
  <si>
    <t>Charges directes</t>
  </si>
  <si>
    <t>Pourcentage des charges indirectes d'appro</t>
  </si>
  <si>
    <t>Imputation des charges indirectes d'appro</t>
  </si>
  <si>
    <t>remplir par qtt Mi * Prix Mi (CMUP tableau stocks matières premières)</t>
  </si>
  <si>
    <t>Marge CV Unitaire</t>
  </si>
  <si>
    <t>Taux MCV</t>
  </si>
  <si>
    <t>Point mort (nb jours)</t>
  </si>
  <si>
    <t>Seuil de rentabilité (point mort)</t>
  </si>
  <si>
    <t>année</t>
  </si>
  <si>
    <t>mois</t>
  </si>
  <si>
    <t>jour</t>
  </si>
  <si>
    <t>taux frais * CA Pi</t>
  </si>
  <si>
    <t>heures mod * nb heures Pi</t>
  </si>
  <si>
    <t>heures machines * nb heures Pi</t>
  </si>
</sst>
</file>

<file path=xl/styles.xml><?xml version="1.0" encoding="utf-8"?>
<styleSheet xmlns="http://schemas.openxmlformats.org/spreadsheetml/2006/main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&quot; €&quot;_-;\-* #,##0.00&quot; €&quot;_-;_-* \-??&quot; €&quot;_-;_-@_-"/>
    <numFmt numFmtId="165" formatCode="0.000000%"/>
    <numFmt numFmtId="166" formatCode="0.0000000%"/>
    <numFmt numFmtId="167" formatCode="_-* #,##0.0000\ &quot;€&quot;_-;\-* #,##0.0000\ &quot;€&quot;_-;_-* &quot;-&quot;??\ &quot;€&quot;_-;_-@_-"/>
    <numFmt numFmtId="168" formatCode="_-* #,##0\ _€_-;\-* #,##0\ _€_-;_-* &quot;-&quot;??\ _€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14">
    <xf numFmtId="0" fontId="0" fillId="0" borderId="0" xfId="0"/>
    <xf numFmtId="0" fontId="0" fillId="2" borderId="0" xfId="0" applyFill="1"/>
    <xf numFmtId="0" fontId="0" fillId="2" borderId="3" xfId="0" applyFill="1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5" xfId="0" applyFill="1" applyBorder="1"/>
    <xf numFmtId="0" fontId="0" fillId="0" borderId="14" xfId="0" applyBorder="1"/>
    <xf numFmtId="0" fontId="0" fillId="2" borderId="2" xfId="0" applyFill="1" applyBorder="1"/>
    <xf numFmtId="0" fontId="0" fillId="2" borderId="1" xfId="0" applyFill="1" applyBorder="1"/>
    <xf numFmtId="0" fontId="0" fillId="2" borderId="0" xfId="0" applyFill="1" applyAlignment="1">
      <alignment horizontal="left" indent="2"/>
    </xf>
    <xf numFmtId="0" fontId="0" fillId="2" borderId="9" xfId="0" applyFill="1" applyBorder="1"/>
    <xf numFmtId="0" fontId="0" fillId="3" borderId="3" xfId="0" applyFill="1" applyBorder="1"/>
    <xf numFmtId="0" fontId="0" fillId="3" borderId="8" xfId="0" applyFill="1" applyBorder="1"/>
    <xf numFmtId="164" fontId="0" fillId="3" borderId="3" xfId="0" applyNumberFormat="1" applyFill="1" applyBorder="1" applyAlignment="1">
      <alignment horizontal="right"/>
    </xf>
    <xf numFmtId="164" fontId="0" fillId="2" borderId="4" xfId="0" applyNumberFormat="1" applyFill="1" applyBorder="1" applyAlignment="1">
      <alignment horizontal="right"/>
    </xf>
    <xf numFmtId="164" fontId="0" fillId="3" borderId="0" xfId="0" applyNumberFormat="1" applyFill="1" applyBorder="1" applyAlignment="1">
      <alignment horizontal="right"/>
    </xf>
    <xf numFmtId="164" fontId="0" fillId="2" borderId="5" xfId="0" applyNumberFormat="1" applyFill="1" applyBorder="1" applyAlignment="1">
      <alignment horizontal="right"/>
    </xf>
    <xf numFmtId="164" fontId="0" fillId="3" borderId="14" xfId="0" applyNumberFormat="1" applyFill="1" applyBorder="1" applyAlignment="1">
      <alignment horizontal="right"/>
    </xf>
    <xf numFmtId="0" fontId="3" fillId="0" borderId="0" xfId="0" applyFont="1"/>
    <xf numFmtId="164" fontId="0" fillId="0" borderId="14" xfId="0" applyNumberFormat="1" applyBorder="1"/>
    <xf numFmtId="164" fontId="0" fillId="0" borderId="0" xfId="0" applyNumberFormat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0" fillId="3" borderId="5" xfId="0" applyNumberFormat="1" applyFill="1" applyBorder="1" applyAlignment="1">
      <alignment horizontal="right"/>
    </xf>
    <xf numFmtId="164" fontId="0" fillId="0" borderId="10" xfId="0" applyNumberFormat="1" applyBorder="1"/>
    <xf numFmtId="164" fontId="0" fillId="0" borderId="11" xfId="0" applyNumberFormat="1" applyBorder="1"/>
    <xf numFmtId="164" fontId="0" fillId="2" borderId="7" xfId="0" applyNumberFormat="1" applyFill="1" applyBorder="1"/>
    <xf numFmtId="164" fontId="0" fillId="0" borderId="0" xfId="0" applyNumberFormat="1"/>
    <xf numFmtId="0" fontId="0" fillId="0" borderId="5" xfId="0" applyBorder="1"/>
    <xf numFmtId="164" fontId="0" fillId="2" borderId="9" xfId="0" applyNumberFormat="1" applyFill="1" applyBorder="1"/>
    <xf numFmtId="164" fontId="0" fillId="2" borderId="14" xfId="0" applyNumberFormat="1" applyFill="1" applyBorder="1"/>
    <xf numFmtId="164" fontId="0" fillId="2" borderId="10" xfId="0" applyNumberFormat="1" applyFill="1" applyBorder="1"/>
    <xf numFmtId="0" fontId="0" fillId="0" borderId="7" xfId="0" applyBorder="1"/>
    <xf numFmtId="164" fontId="0" fillId="3" borderId="4" xfId="0" applyNumberFormat="1" applyFill="1" applyBorder="1"/>
    <xf numFmtId="43" fontId="0" fillId="0" borderId="0" xfId="0" applyNumberFormat="1"/>
    <xf numFmtId="43" fontId="0" fillId="0" borderId="0" xfId="1" applyFont="1"/>
    <xf numFmtId="44" fontId="0" fillId="0" borderId="0" xfId="2" applyFont="1"/>
    <xf numFmtId="44" fontId="0" fillId="2" borderId="0" xfId="2" applyFont="1" applyFill="1"/>
    <xf numFmtId="44" fontId="0" fillId="3" borderId="0" xfId="2" applyFont="1" applyFill="1"/>
    <xf numFmtId="0" fontId="0" fillId="4" borderId="0" xfId="0" applyFill="1"/>
    <xf numFmtId="43" fontId="0" fillId="2" borderId="0" xfId="1" applyFont="1" applyFill="1"/>
    <xf numFmtId="43" fontId="0" fillId="3" borderId="0" xfId="1" applyFont="1" applyFill="1"/>
    <xf numFmtId="43" fontId="0" fillId="0" borderId="0" xfId="1" applyFont="1" applyFill="1"/>
    <xf numFmtId="43" fontId="0" fillId="2" borderId="0" xfId="0" applyNumberFormat="1" applyFill="1"/>
    <xf numFmtId="0" fontId="0" fillId="4" borderId="0" xfId="0" applyFill="1" applyAlignment="1">
      <alignment horizontal="left"/>
    </xf>
    <xf numFmtId="43" fontId="0" fillId="5" borderId="0" xfId="1" applyFont="1" applyFill="1" applyAlignment="1">
      <alignment vertical="center"/>
    </xf>
    <xf numFmtId="9" fontId="0" fillId="5" borderId="0" xfId="3" applyFont="1" applyFill="1"/>
    <xf numFmtId="12" fontId="0" fillId="0" borderId="0" xfId="0" applyNumberFormat="1"/>
    <xf numFmtId="9" fontId="0" fillId="0" borderId="0" xfId="3" applyFont="1" applyFill="1"/>
    <xf numFmtId="9" fontId="0" fillId="5" borderId="0" xfId="1" applyNumberFormat="1" applyFont="1" applyFill="1"/>
    <xf numFmtId="166" fontId="0" fillId="2" borderId="0" xfId="3" applyNumberFormat="1" applyFont="1" applyFill="1"/>
    <xf numFmtId="0" fontId="1" fillId="6" borderId="0" xfId="0" applyFont="1" applyFill="1"/>
    <xf numFmtId="0" fontId="0" fillId="6" borderId="0" xfId="0" applyFill="1"/>
    <xf numFmtId="43" fontId="0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/>
    </xf>
    <xf numFmtId="0" fontId="0" fillId="6" borderId="0" xfId="0" applyFill="1" applyAlignment="1">
      <alignment horizontal="left"/>
    </xf>
    <xf numFmtId="43" fontId="0" fillId="6" borderId="0" xfId="1" applyFont="1" applyFill="1" applyAlignment="1">
      <alignment horizontal="center" vertical="center"/>
    </xf>
    <xf numFmtId="0" fontId="0" fillId="6" borderId="12" xfId="0" applyFill="1" applyBorder="1"/>
    <xf numFmtId="0" fontId="0" fillId="6" borderId="13" xfId="0" applyFill="1" applyBorder="1"/>
    <xf numFmtId="0" fontId="0" fillId="6" borderId="12" xfId="0" applyFont="1" applyFill="1" applyBorder="1"/>
    <xf numFmtId="0" fontId="0" fillId="6" borderId="15" xfId="0" applyFont="1" applyFill="1" applyBorder="1"/>
    <xf numFmtId="0" fontId="0" fillId="6" borderId="15" xfId="0" applyFill="1" applyBorder="1"/>
    <xf numFmtId="0" fontId="0" fillId="6" borderId="13" xfId="0" applyFont="1" applyFill="1" applyBorder="1"/>
    <xf numFmtId="0" fontId="0" fillId="6" borderId="3" xfId="0" applyFont="1" applyFill="1" applyBorder="1"/>
    <xf numFmtId="0" fontId="0" fillId="6" borderId="0" xfId="0" applyFill="1" applyBorder="1"/>
    <xf numFmtId="0" fontId="0" fillId="6" borderId="0" xfId="0" applyFont="1" applyFill="1" applyBorder="1" applyAlignment="1">
      <alignment horizontal="left" indent="2"/>
    </xf>
    <xf numFmtId="0" fontId="0" fillId="6" borderId="9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ont="1" applyFill="1" applyBorder="1" applyAlignment="1"/>
    <xf numFmtId="10" fontId="0" fillId="2" borderId="0" xfId="3" applyNumberFormat="1" applyFont="1" applyFill="1" applyBorder="1" applyAlignment="1">
      <alignment horizontal="right"/>
    </xf>
    <xf numFmtId="10" fontId="2" fillId="2" borderId="0" xfId="3" applyNumberFormat="1" applyFont="1" applyFill="1" applyBorder="1" applyAlignment="1">
      <alignment horizontal="right"/>
    </xf>
    <xf numFmtId="165" fontId="0" fillId="2" borderId="1" xfId="3" applyNumberFormat="1" applyFont="1" applyFill="1" applyBorder="1"/>
    <xf numFmtId="0" fontId="5" fillId="4" borderId="0" xfId="0" applyFont="1" applyFill="1"/>
    <xf numFmtId="0" fontId="0" fillId="2" borderId="0" xfId="0" applyFill="1" applyBorder="1"/>
    <xf numFmtId="44" fontId="0" fillId="2" borderId="1" xfId="2" applyFont="1" applyFill="1" applyBorder="1"/>
    <xf numFmtId="44" fontId="0" fillId="3" borderId="1" xfId="2" applyFont="1" applyFill="1" applyBorder="1"/>
    <xf numFmtId="44" fontId="0" fillId="3" borderId="6" xfId="2" applyFont="1" applyFill="1" applyBorder="1"/>
    <xf numFmtId="44" fontId="0" fillId="2" borderId="8" xfId="2" applyFont="1" applyFill="1" applyBorder="1"/>
    <xf numFmtId="44" fontId="0" fillId="2" borderId="6" xfId="2" applyFont="1" applyFill="1" applyBorder="1"/>
    <xf numFmtId="0" fontId="0" fillId="6" borderId="2" xfId="0" applyFill="1" applyBorder="1"/>
    <xf numFmtId="0" fontId="0" fillId="6" borderId="8" xfId="0" applyFill="1" applyBorder="1"/>
    <xf numFmtId="0" fontId="1" fillId="6" borderId="2" xfId="0" applyFont="1" applyFill="1" applyBorder="1" applyAlignment="1">
      <alignment horizontal="center" vertical="center"/>
    </xf>
    <xf numFmtId="16" fontId="0" fillId="6" borderId="2" xfId="0" applyNumberFormat="1" applyFill="1" applyBorder="1"/>
    <xf numFmtId="16" fontId="0" fillId="6" borderId="9" xfId="0" applyNumberFormat="1" applyFill="1" applyBorder="1"/>
    <xf numFmtId="16" fontId="0" fillId="6" borderId="12" xfId="0" applyNumberFormat="1" applyFill="1" applyBorder="1"/>
    <xf numFmtId="16" fontId="0" fillId="6" borderId="1" xfId="0" applyNumberFormat="1" applyFill="1" applyBorder="1"/>
    <xf numFmtId="0" fontId="0" fillId="6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164" fontId="0" fillId="0" borderId="14" xfId="0" applyNumberFormat="1" applyFill="1" applyBorder="1"/>
    <xf numFmtId="164" fontId="0" fillId="0" borderId="0" xfId="0" applyNumberFormat="1" applyFill="1" applyBorder="1"/>
    <xf numFmtId="164" fontId="0" fillId="0" borderId="10" xfId="0" applyNumberFormat="1" applyFill="1" applyBorder="1"/>
    <xf numFmtId="164" fontId="0" fillId="0" borderId="11" xfId="0" applyNumberFormat="1" applyFill="1" applyBorder="1"/>
    <xf numFmtId="0" fontId="0" fillId="6" borderId="9" xfId="0" applyFont="1" applyFill="1" applyBorder="1"/>
    <xf numFmtId="0" fontId="1" fillId="0" borderId="0" xfId="0" applyFont="1" applyFill="1" applyBorder="1" applyAlignment="1">
      <alignment horizontal="right"/>
    </xf>
    <xf numFmtId="0" fontId="0" fillId="6" borderId="1" xfId="0" applyFill="1" applyBorder="1"/>
    <xf numFmtId="0" fontId="0" fillId="3" borderId="0" xfId="0" applyFill="1" applyBorder="1"/>
    <xf numFmtId="0" fontId="0" fillId="7" borderId="0" xfId="0" applyFill="1"/>
    <xf numFmtId="0" fontId="6" fillId="7" borderId="0" xfId="0" applyFont="1" applyFill="1"/>
    <xf numFmtId="0" fontId="7" fillId="7" borderId="0" xfId="0" applyFont="1" applyFill="1"/>
    <xf numFmtId="0" fontId="1" fillId="6" borderId="12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6" borderId="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4" fontId="0" fillId="3" borderId="3" xfId="2" applyFont="1" applyFill="1" applyBorder="1"/>
    <xf numFmtId="44" fontId="0" fillId="3" borderId="11" xfId="2" applyFont="1" applyFill="1" applyBorder="1"/>
    <xf numFmtId="44" fontId="0" fillId="2" borderId="2" xfId="2" applyFont="1" applyFill="1" applyBorder="1"/>
    <xf numFmtId="44" fontId="0" fillId="2" borderId="15" xfId="2" applyFont="1" applyFill="1" applyBorder="1"/>
    <xf numFmtId="44" fontId="0" fillId="2" borderId="12" xfId="2" applyFont="1" applyFill="1" applyBorder="1"/>
    <xf numFmtId="44" fontId="0" fillId="2" borderId="13" xfId="2" applyFont="1" applyFill="1" applyBorder="1"/>
    <xf numFmtId="44" fontId="0" fillId="3" borderId="0" xfId="2" applyFont="1" applyFill="1" applyBorder="1"/>
    <xf numFmtId="44" fontId="0" fillId="2" borderId="5" xfId="2" applyFont="1" applyFill="1" applyBorder="1"/>
    <xf numFmtId="44" fontId="0" fillId="2" borderId="0" xfId="2" applyFont="1" applyFill="1" applyBorder="1"/>
    <xf numFmtId="44" fontId="0" fillId="3" borderId="4" xfId="2" applyFont="1" applyFill="1" applyBorder="1"/>
    <xf numFmtId="44" fontId="0" fillId="3" borderId="5" xfId="2" applyFont="1" applyFill="1" applyBorder="1"/>
    <xf numFmtId="44" fontId="0" fillId="2" borderId="3" xfId="2" applyFont="1" applyFill="1" applyBorder="1"/>
    <xf numFmtId="44" fontId="0" fillId="2" borderId="11" xfId="2" applyFont="1" applyFill="1" applyBorder="1"/>
    <xf numFmtId="0" fontId="1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9" fontId="0" fillId="3" borderId="0" xfId="2" applyNumberFormat="1" applyFont="1" applyFill="1"/>
    <xf numFmtId="10" fontId="0" fillId="3" borderId="0" xfId="2" applyNumberFormat="1" applyFont="1" applyFill="1"/>
    <xf numFmtId="44" fontId="0" fillId="0" borderId="0" xfId="0" applyNumberFormat="1"/>
    <xf numFmtId="0" fontId="0" fillId="6" borderId="15" xfId="0" applyFill="1" applyBorder="1" applyAlignment="1">
      <alignment horizontal="center"/>
    </xf>
    <xf numFmtId="0" fontId="0" fillId="6" borderId="15" xfId="0" applyFill="1" applyBorder="1" applyAlignment="1">
      <alignment horizontal="center" vertical="center"/>
    </xf>
    <xf numFmtId="10" fontId="0" fillId="3" borderId="0" xfId="3" applyNumberFormat="1" applyFont="1" applyFill="1"/>
    <xf numFmtId="10" fontId="0" fillId="3" borderId="0" xfId="1" applyNumberFormat="1" applyFont="1" applyFill="1"/>
    <xf numFmtId="0" fontId="0" fillId="6" borderId="6" xfId="0" applyFill="1" applyBorder="1" applyAlignment="1">
      <alignment horizontal="center" vertical="center"/>
    </xf>
    <xf numFmtId="0" fontId="9" fillId="8" borderId="0" xfId="0" applyFont="1" applyFill="1"/>
    <xf numFmtId="0" fontId="0" fillId="2" borderId="14" xfId="0" applyFill="1" applyBorder="1"/>
    <xf numFmtId="0" fontId="0" fillId="2" borderId="10" xfId="0" applyFill="1" applyBorder="1"/>
    <xf numFmtId="0" fontId="0" fillId="3" borderId="11" xfId="0" applyFill="1" applyBorder="1"/>
    <xf numFmtId="43" fontId="0" fillId="2" borderId="8" xfId="1" applyFont="1" applyFill="1" applyBorder="1"/>
    <xf numFmtId="43" fontId="0" fillId="2" borderId="1" xfId="1" applyFont="1" applyFill="1" applyBorder="1"/>
    <xf numFmtId="43" fontId="0" fillId="3" borderId="1" xfId="1" applyFont="1" applyFill="1" applyBorder="1"/>
    <xf numFmtId="43" fontId="0" fillId="3" borderId="0" xfId="1" applyFont="1" applyFill="1" applyAlignment="1">
      <alignment horizontal="left" vertical="center"/>
    </xf>
    <xf numFmtId="43" fontId="0" fillId="3" borderId="0" xfId="1" applyFont="1" applyFill="1" applyAlignment="1">
      <alignment horizontal="center" vertical="center"/>
    </xf>
    <xf numFmtId="9" fontId="0" fillId="9" borderId="1" xfId="0" applyNumberFormat="1" applyFill="1" applyBorder="1"/>
    <xf numFmtId="44" fontId="0" fillId="2" borderId="4" xfId="2" applyFont="1" applyFill="1" applyBorder="1"/>
    <xf numFmtId="44" fontId="0" fillId="2" borderId="7" xfId="2" applyFont="1" applyFill="1" applyBorder="1"/>
    <xf numFmtId="0" fontId="0" fillId="0" borderId="0" xfId="0" applyFill="1"/>
    <xf numFmtId="0" fontId="9" fillId="0" borderId="0" xfId="0" applyFont="1" applyFill="1"/>
    <xf numFmtId="9" fontId="0" fillId="2" borderId="0" xfId="3" applyFont="1" applyFill="1"/>
    <xf numFmtId="43" fontId="0" fillId="3" borderId="8" xfId="1" applyFont="1" applyFill="1" applyBorder="1"/>
    <xf numFmtId="43" fontId="0" fillId="3" borderId="6" xfId="1" applyFont="1" applyFill="1" applyBorder="1"/>
    <xf numFmtId="43" fontId="0" fillId="2" borderId="13" xfId="1" applyFont="1" applyFill="1" applyBorder="1"/>
    <xf numFmtId="167" fontId="0" fillId="2" borderId="8" xfId="2" applyNumberFormat="1" applyFont="1" applyFill="1" applyBorder="1"/>
    <xf numFmtId="167" fontId="0" fillId="3" borderId="0" xfId="2" applyNumberFormat="1" applyFont="1" applyFill="1" applyBorder="1"/>
    <xf numFmtId="9" fontId="0" fillId="3" borderId="0" xfId="3" applyFont="1" applyFill="1" applyBorder="1"/>
    <xf numFmtId="9" fontId="0" fillId="2" borderId="0" xfId="3" applyFont="1" applyFill="1" applyBorder="1"/>
    <xf numFmtId="43" fontId="0" fillId="3" borderId="0" xfId="1" applyFont="1" applyFill="1" applyBorder="1"/>
    <xf numFmtId="43" fontId="0" fillId="2" borderId="0" xfId="1" applyFont="1" applyFill="1" applyBorder="1"/>
    <xf numFmtId="43" fontId="0" fillId="3" borderId="14" xfId="1" applyFont="1" applyFill="1" applyBorder="1"/>
    <xf numFmtId="43" fontId="0" fillId="2" borderId="2" xfId="1" applyFont="1" applyFill="1" applyBorder="1"/>
    <xf numFmtId="44" fontId="0" fillId="3" borderId="8" xfId="2" applyFont="1" applyFill="1" applyBorder="1"/>
    <xf numFmtId="168" fontId="0" fillId="3" borderId="9" xfId="1" applyNumberFormat="1" applyFont="1" applyFill="1" applyBorder="1"/>
    <xf numFmtId="168" fontId="0" fillId="3" borderId="2" xfId="1" applyNumberFormat="1" applyFont="1" applyFill="1" applyBorder="1"/>
    <xf numFmtId="168" fontId="0" fillId="2" borderId="9" xfId="1" applyNumberFormat="1" applyFont="1" applyFill="1" applyBorder="1"/>
    <xf numFmtId="168" fontId="0" fillId="2" borderId="2" xfId="1" applyNumberFormat="1" applyFont="1" applyFill="1" applyBorder="1"/>
    <xf numFmtId="168" fontId="0" fillId="3" borderId="14" xfId="1" applyNumberFormat="1" applyFont="1" applyFill="1" applyBorder="1"/>
    <xf numFmtId="168" fontId="0" fillId="3" borderId="11" xfId="1" applyNumberFormat="1" applyFont="1" applyFill="1" applyBorder="1"/>
    <xf numFmtId="168" fontId="0" fillId="3" borderId="9" xfId="1" applyNumberFormat="1" applyFont="1" applyFill="1" applyBorder="1" applyAlignment="1"/>
    <xf numFmtId="168" fontId="0" fillId="3" borderId="14" xfId="1" applyNumberFormat="1" applyFont="1" applyFill="1" applyBorder="1" applyAlignment="1"/>
    <xf numFmtId="168" fontId="0" fillId="3" borderId="10" xfId="1" applyNumberFormat="1" applyFont="1" applyFill="1" applyBorder="1" applyAlignment="1"/>
    <xf numFmtId="168" fontId="0" fillId="3" borderId="0" xfId="1" applyNumberFormat="1" applyFont="1" applyFill="1" applyBorder="1" applyAlignment="1"/>
    <xf numFmtId="168" fontId="0" fillId="3" borderId="11" xfId="1" applyNumberFormat="1" applyFont="1" applyFill="1" applyBorder="1" applyAlignment="1"/>
    <xf numFmtId="168" fontId="0" fillId="3" borderId="10" xfId="1" applyNumberFormat="1" applyFont="1" applyFill="1" applyBorder="1"/>
    <xf numFmtId="168" fontId="0" fillId="2" borderId="14" xfId="1" applyNumberFormat="1" applyFont="1" applyFill="1" applyBorder="1"/>
    <xf numFmtId="168" fontId="0" fillId="2" borderId="10" xfId="1" applyNumberFormat="1" applyFont="1" applyFill="1" applyBorder="1"/>
    <xf numFmtId="9" fontId="0" fillId="2" borderId="15" xfId="2" applyNumberFormat="1" applyFont="1" applyFill="1" applyBorder="1"/>
    <xf numFmtId="43" fontId="0" fillId="3" borderId="9" xfId="1" applyFont="1" applyFill="1" applyBorder="1" applyAlignment="1">
      <alignment horizontal="right"/>
    </xf>
    <xf numFmtId="43" fontId="0" fillId="3" borderId="14" xfId="1" applyFont="1" applyFill="1" applyBorder="1" applyAlignment="1">
      <alignment horizontal="right"/>
    </xf>
    <xf numFmtId="43" fontId="0" fillId="3" borderId="5" xfId="1" applyFont="1" applyFill="1" applyBorder="1" applyAlignment="1"/>
    <xf numFmtId="14" fontId="0" fillId="2" borderId="1" xfId="0" applyNumberFormat="1" applyFill="1" applyBorder="1"/>
    <xf numFmtId="0" fontId="0" fillId="4" borderId="10" xfId="0" applyFill="1" applyBorder="1"/>
    <xf numFmtId="0" fontId="0" fillId="3" borderId="7" xfId="0" applyFill="1" applyBorder="1"/>
    <xf numFmtId="0" fontId="0" fillId="4" borderId="2" xfId="0" applyFill="1" applyBorder="1"/>
    <xf numFmtId="0" fontId="0" fillId="3" borderId="6" xfId="0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16" fontId="0" fillId="6" borderId="12" xfId="0" applyNumberFormat="1" applyFill="1" applyBorder="1" applyAlignment="1">
      <alignment horizontal="center" vertical="center"/>
    </xf>
    <xf numFmtId="16" fontId="0" fillId="6" borderId="15" xfId="0" applyNumberFormat="1" applyFill="1" applyBorder="1" applyAlignment="1">
      <alignment horizontal="center" vertical="center"/>
    </xf>
    <xf numFmtId="16" fontId="0" fillId="6" borderId="13" xfId="0" applyNumberFormat="1" applyFill="1" applyBorder="1" applyAlignment="1">
      <alignment horizontal="center" vertical="center"/>
    </xf>
    <xf numFmtId="44" fontId="0" fillId="2" borderId="12" xfId="2" applyFont="1" applyFill="1" applyBorder="1" applyAlignment="1">
      <alignment horizontal="center" vertical="center"/>
    </xf>
    <xf numFmtId="44" fontId="0" fillId="0" borderId="15" xfId="2" applyFont="1" applyBorder="1"/>
    <xf numFmtId="44" fontId="0" fillId="0" borderId="13" xfId="2" applyFont="1" applyBorder="1"/>
    <xf numFmtId="0" fontId="0" fillId="6" borderId="8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43" fontId="0" fillId="4" borderId="0" xfId="1" applyFont="1" applyFill="1" applyAlignment="1">
      <alignment horizontal="center"/>
    </xf>
    <xf numFmtId="0" fontId="0" fillId="6" borderId="0" xfId="0" applyFill="1" applyAlignment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3"/>
  <sheetViews>
    <sheetView tabSelected="1" workbookViewId="0">
      <selection activeCell="G10" sqref="G10"/>
    </sheetView>
  </sheetViews>
  <sheetFormatPr baseColWidth="10" defaultRowHeight="15"/>
  <cols>
    <col min="1" max="1" width="44.7109375" bestFit="1" customWidth="1"/>
    <col min="2" max="2" width="11.85546875" bestFit="1" customWidth="1"/>
    <col min="3" max="3" width="14" customWidth="1"/>
    <col min="4" max="4" width="11.85546875" bestFit="1" customWidth="1"/>
    <col min="5" max="5" width="13.140625" customWidth="1"/>
    <col min="6" max="6" width="11.85546875" bestFit="1" customWidth="1"/>
    <col min="7" max="7" width="11.5703125" bestFit="1" customWidth="1"/>
    <col min="8" max="8" width="11.85546875" bestFit="1" customWidth="1"/>
  </cols>
  <sheetData>
    <row r="1" spans="1:14">
      <c r="A1" s="195" t="s">
        <v>144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>
      <c r="A2" s="129" t="s">
        <v>118</v>
      </c>
      <c r="C2" s="191" t="s">
        <v>129</v>
      </c>
      <c r="D2" s="192"/>
      <c r="E2" s="189" t="s">
        <v>131</v>
      </c>
    </row>
    <row r="3" spans="1:14">
      <c r="A3" s="130" t="s">
        <v>121</v>
      </c>
      <c r="C3" s="193" t="s">
        <v>130</v>
      </c>
      <c r="D3" s="194"/>
      <c r="E3" s="190"/>
    </row>
    <row r="7" spans="1:14" s="108" customFormat="1">
      <c r="A7" s="103" t="s">
        <v>76</v>
      </c>
      <c r="B7" s="105" t="s">
        <v>78</v>
      </c>
      <c r="C7" s="106" t="s">
        <v>79</v>
      </c>
      <c r="D7" s="106" t="s">
        <v>80</v>
      </c>
      <c r="E7" s="107" t="s">
        <v>81</v>
      </c>
      <c r="F7" s="104" t="s">
        <v>77</v>
      </c>
    </row>
    <row r="8" spans="1:14">
      <c r="A8" s="98" t="s">
        <v>82</v>
      </c>
      <c r="B8" s="116">
        <v>8460</v>
      </c>
      <c r="C8" s="116">
        <v>4000</v>
      </c>
      <c r="D8" s="116">
        <v>12000</v>
      </c>
      <c r="E8" s="125">
        <v>16000</v>
      </c>
      <c r="F8" s="120">
        <f>SUM(B8:E8)</f>
        <v>40460</v>
      </c>
    </row>
    <row r="9" spans="1:14">
      <c r="A9" s="98" t="s">
        <v>153</v>
      </c>
      <c r="B9" s="122">
        <v>0</v>
      </c>
      <c r="C9" s="122">
        <v>0</v>
      </c>
      <c r="D9" s="122">
        <v>0</v>
      </c>
      <c r="E9" s="126">
        <v>0</v>
      </c>
      <c r="F9" s="119">
        <f t="shared" ref="F9:F11" si="0">SUM(B9:E9)</f>
        <v>0</v>
      </c>
    </row>
    <row r="10" spans="1:14">
      <c r="A10" s="98" t="s">
        <v>154</v>
      </c>
      <c r="B10" s="159">
        <f>'Coûts Complets'!$F19</f>
        <v>0.19</v>
      </c>
      <c r="C10" s="160">
        <f>B10</f>
        <v>0.19</v>
      </c>
      <c r="D10" s="160">
        <f t="shared" ref="D10:E10" si="1">C10</f>
        <v>0.19</v>
      </c>
      <c r="E10" s="160">
        <f t="shared" si="1"/>
        <v>0.19</v>
      </c>
      <c r="F10" s="119"/>
      <c r="G10" t="s">
        <v>49</v>
      </c>
    </row>
    <row r="11" spans="1:14">
      <c r="A11" s="98" t="s">
        <v>155</v>
      </c>
      <c r="B11" s="128">
        <f>B10*B8</f>
        <v>1607.4</v>
      </c>
      <c r="C11" s="128">
        <f t="shared" ref="C11:E11" si="2">C10*C8</f>
        <v>760</v>
      </c>
      <c r="D11" s="128">
        <f t="shared" si="2"/>
        <v>2280</v>
      </c>
      <c r="E11" s="128">
        <f t="shared" si="2"/>
        <v>3040</v>
      </c>
      <c r="F11" s="121">
        <f t="shared" si="0"/>
        <v>7687.4</v>
      </c>
    </row>
    <row r="12" spans="1:14">
      <c r="A12" s="98" t="s">
        <v>77</v>
      </c>
      <c r="B12" s="118">
        <f>SUM(B8:B9)+B11</f>
        <v>10067.4</v>
      </c>
      <c r="C12" s="80">
        <f t="shared" ref="C12:E12" si="3">SUM(C8:C9)+C11</f>
        <v>4760</v>
      </c>
      <c r="D12" s="80">
        <f t="shared" si="3"/>
        <v>14280</v>
      </c>
      <c r="E12" s="81">
        <f t="shared" si="3"/>
        <v>19040</v>
      </c>
      <c r="F12" s="77">
        <f>SUM(B12:E12)</f>
        <v>48147.4</v>
      </c>
    </row>
    <row r="13" spans="1:14">
      <c r="A13" s="98" t="s">
        <v>83</v>
      </c>
      <c r="B13" s="154">
        <v>36000</v>
      </c>
      <c r="C13" s="154">
        <v>8</v>
      </c>
      <c r="D13" s="154">
        <v>6</v>
      </c>
      <c r="E13" s="155">
        <v>1</v>
      </c>
      <c r="F13" s="156">
        <f>SUM(B13:E13)</f>
        <v>36015</v>
      </c>
    </row>
    <row r="14" spans="1:14">
      <c r="A14" s="98" t="s">
        <v>84</v>
      </c>
      <c r="B14" s="157">
        <f>IF(B13=0,0,B12/B13)</f>
        <v>0.27965000000000001</v>
      </c>
      <c r="C14" s="80">
        <f t="shared" ref="C14:E14" si="4">IF(C13=0,0,C12/C13)</f>
        <v>595</v>
      </c>
      <c r="D14" s="80">
        <f t="shared" si="4"/>
        <v>2380</v>
      </c>
      <c r="E14" s="80">
        <f t="shared" si="4"/>
        <v>19040</v>
      </c>
      <c r="F14" s="121">
        <f>SUM(B14:E14)</f>
        <v>22015.27965</v>
      </c>
    </row>
    <row r="18" spans="1:7">
      <c r="A18" s="109" t="s">
        <v>120</v>
      </c>
      <c r="B18" s="110" t="s">
        <v>94</v>
      </c>
      <c r="C18" s="110" t="s">
        <v>101</v>
      </c>
      <c r="D18" s="110" t="s">
        <v>102</v>
      </c>
      <c r="E18" s="110" t="s">
        <v>103</v>
      </c>
      <c r="F18" s="111" t="s">
        <v>77</v>
      </c>
    </row>
    <row r="19" spans="1:7">
      <c r="A19" s="64" t="s">
        <v>95</v>
      </c>
      <c r="B19" s="41">
        <f>9000*$C49</f>
        <v>2502</v>
      </c>
      <c r="C19" s="41">
        <f t="shared" ref="C19" si="5">9000*$C49</f>
        <v>2502</v>
      </c>
      <c r="D19" s="41">
        <f>0*$C49</f>
        <v>0</v>
      </c>
      <c r="E19" s="41">
        <f>0*$C49</f>
        <v>0</v>
      </c>
      <c r="F19" s="119">
        <f t="shared" ref="F19:F26" si="6">SUM(B19:E19)</f>
        <v>5004</v>
      </c>
      <c r="G19" t="s">
        <v>156</v>
      </c>
    </row>
    <row r="20" spans="1:7">
      <c r="A20" s="64" t="s">
        <v>96</v>
      </c>
      <c r="B20" s="41"/>
      <c r="C20" s="41"/>
      <c r="D20" s="41"/>
      <c r="E20" s="41"/>
      <c r="F20" s="119">
        <f t="shared" si="6"/>
        <v>0</v>
      </c>
    </row>
    <row r="21" spans="1:7">
      <c r="A21" s="64" t="s">
        <v>97</v>
      </c>
      <c r="B21" s="41"/>
      <c r="C21" s="41"/>
      <c r="D21" s="41"/>
      <c r="E21" s="41"/>
      <c r="F21" s="119">
        <f t="shared" si="6"/>
        <v>0</v>
      </c>
    </row>
    <row r="22" spans="1:7">
      <c r="A22" s="64" t="s">
        <v>98</v>
      </c>
      <c r="B22" s="41"/>
      <c r="C22" s="41"/>
      <c r="D22" s="41"/>
      <c r="E22" s="41"/>
      <c r="F22" s="119">
        <f t="shared" si="6"/>
        <v>0</v>
      </c>
    </row>
    <row r="23" spans="1:7">
      <c r="A23" s="60" t="s">
        <v>99</v>
      </c>
      <c r="B23" s="116"/>
      <c r="C23" s="116"/>
      <c r="D23" s="116"/>
      <c r="E23" s="116"/>
      <c r="F23" s="120">
        <f t="shared" si="6"/>
        <v>0</v>
      </c>
      <c r="G23" t="s">
        <v>165</v>
      </c>
    </row>
    <row r="24" spans="1:7">
      <c r="A24" s="61" t="s">
        <v>100</v>
      </c>
      <c r="B24" s="117"/>
      <c r="C24" s="117"/>
      <c r="D24" s="117"/>
      <c r="E24" s="117"/>
      <c r="F24" s="121">
        <f t="shared" si="6"/>
        <v>0</v>
      </c>
    </row>
    <row r="25" spans="1:7">
      <c r="A25" s="60" t="s">
        <v>122</v>
      </c>
      <c r="B25" s="116"/>
      <c r="C25" s="116"/>
      <c r="D25" s="116"/>
      <c r="E25" s="116"/>
      <c r="F25" s="120">
        <f t="shared" si="6"/>
        <v>0</v>
      </c>
      <c r="G25" t="s">
        <v>166</v>
      </c>
    </row>
    <row r="26" spans="1:7">
      <c r="A26" s="61" t="s">
        <v>123</v>
      </c>
      <c r="B26" s="117"/>
      <c r="C26" s="117"/>
      <c r="D26" s="117"/>
      <c r="E26" s="117"/>
      <c r="F26" s="121">
        <f t="shared" si="6"/>
        <v>0</v>
      </c>
    </row>
    <row r="27" spans="1:7">
      <c r="A27" s="60" t="s">
        <v>77</v>
      </c>
      <c r="B27" s="118">
        <f>SUM(B19:B26)</f>
        <v>2502</v>
      </c>
      <c r="C27" s="80">
        <f t="shared" ref="C27:E27" si="7">SUM(C19:C26)</f>
        <v>2502</v>
      </c>
      <c r="D27" s="80">
        <f t="shared" si="7"/>
        <v>0</v>
      </c>
      <c r="E27" s="81">
        <f t="shared" si="7"/>
        <v>0</v>
      </c>
      <c r="F27" s="77">
        <f>SUM(B27:E27)</f>
        <v>5004</v>
      </c>
    </row>
    <row r="28" spans="1:7">
      <c r="A28" s="98" t="s">
        <v>83</v>
      </c>
      <c r="B28" s="44">
        <v>10</v>
      </c>
      <c r="C28" s="44">
        <v>20</v>
      </c>
      <c r="D28" s="44">
        <v>1500</v>
      </c>
      <c r="E28" s="44"/>
      <c r="F28" s="144">
        <f>SUM(B28:E28)</f>
        <v>1530</v>
      </c>
      <c r="G28" s="97"/>
    </row>
    <row r="29" spans="1:7">
      <c r="A29" s="61" t="s">
        <v>84</v>
      </c>
      <c r="B29" s="80">
        <f>IF(B28=0,0,B27/B28)</f>
        <v>250.2</v>
      </c>
      <c r="C29" s="80">
        <f t="shared" ref="C29:E29" si="8">IF(C28=0,0,C27/C28)</f>
        <v>125.1</v>
      </c>
      <c r="D29" s="80">
        <f t="shared" si="8"/>
        <v>0</v>
      </c>
      <c r="E29" s="80">
        <f t="shared" si="8"/>
        <v>0</v>
      </c>
      <c r="F29" s="77">
        <f>SUM(B29:E29)</f>
        <v>375.29999999999995</v>
      </c>
    </row>
    <row r="33" spans="1:8">
      <c r="A33" s="109" t="s">
        <v>119</v>
      </c>
      <c r="B33" s="110" t="s">
        <v>94</v>
      </c>
      <c r="C33" s="110" t="s">
        <v>101</v>
      </c>
      <c r="D33" s="110" t="s">
        <v>102</v>
      </c>
      <c r="E33" s="110" t="s">
        <v>103</v>
      </c>
      <c r="F33" s="111" t="s">
        <v>77</v>
      </c>
    </row>
    <row r="34" spans="1:8">
      <c r="A34" s="64" t="s">
        <v>114</v>
      </c>
      <c r="B34" s="131">
        <v>0.05</v>
      </c>
      <c r="C34" s="131">
        <v>0.05</v>
      </c>
      <c r="D34" s="132"/>
      <c r="E34" s="132"/>
      <c r="F34" s="180">
        <f t="shared" ref="F34:F42" si="9">SUM(B34:E34)</f>
        <v>0.1</v>
      </c>
    </row>
    <row r="35" spans="1:8">
      <c r="A35" s="64" t="s">
        <v>115</v>
      </c>
      <c r="B35" s="40">
        <f>B34*B40*B41</f>
        <v>1568</v>
      </c>
      <c r="C35" s="40">
        <f>C34*C40*C41</f>
        <v>3332</v>
      </c>
      <c r="D35" s="40">
        <f>D34*D40*D41</f>
        <v>0</v>
      </c>
      <c r="E35" s="40">
        <f>E34*E40*E41</f>
        <v>0</v>
      </c>
      <c r="F35" s="119">
        <f t="shared" si="9"/>
        <v>4900</v>
      </c>
    </row>
    <row r="36" spans="1:8">
      <c r="A36" s="64" t="s">
        <v>117</v>
      </c>
      <c r="B36" s="41">
        <v>4000</v>
      </c>
      <c r="C36" s="41">
        <v>6000</v>
      </c>
      <c r="D36" s="41"/>
      <c r="E36" s="41"/>
      <c r="F36" s="119">
        <f t="shared" si="9"/>
        <v>10000</v>
      </c>
    </row>
    <row r="37" spans="1:8">
      <c r="A37" s="60" t="s">
        <v>108</v>
      </c>
      <c r="B37" s="116">
        <f>B40*B41*'Coûts Complets'!$I19</f>
        <v>4660.0959999999995</v>
      </c>
      <c r="C37" s="116">
        <f>C40*C41*'Coûts Complets'!$I19</f>
        <v>9902.7039999999979</v>
      </c>
      <c r="D37" s="116">
        <f>D40*D41*'Coûts Complets'!$I19</f>
        <v>0</v>
      </c>
      <c r="E37" s="116">
        <f>E40*E41*'Coûts Complets'!$I19</f>
        <v>0</v>
      </c>
      <c r="F37" s="120">
        <f t="shared" si="9"/>
        <v>14562.799999999997</v>
      </c>
      <c r="G37" t="s">
        <v>164</v>
      </c>
    </row>
    <row r="38" spans="1:8">
      <c r="A38" s="61" t="s">
        <v>109</v>
      </c>
      <c r="B38" s="117">
        <v>0</v>
      </c>
      <c r="C38" s="117">
        <v>0</v>
      </c>
      <c r="D38" s="117">
        <v>0</v>
      </c>
      <c r="E38" s="117">
        <v>0</v>
      </c>
      <c r="F38" s="121">
        <f t="shared" si="9"/>
        <v>0</v>
      </c>
    </row>
    <row r="39" spans="1:8">
      <c r="A39" s="60" t="s">
        <v>77</v>
      </c>
      <c r="B39" s="118">
        <f>SUM(B35:B38)</f>
        <v>10228.096</v>
      </c>
      <c r="C39" s="80">
        <f>SUM(C35:C38)</f>
        <v>19234.703999999998</v>
      </c>
      <c r="D39" s="80">
        <f t="shared" ref="D39:E39" si="10">SUM(D35:D38)</f>
        <v>0</v>
      </c>
      <c r="E39" s="80">
        <f t="shared" si="10"/>
        <v>0</v>
      </c>
      <c r="F39" s="77">
        <f t="shared" si="9"/>
        <v>29462.799999999996</v>
      </c>
    </row>
    <row r="40" spans="1:8">
      <c r="A40" s="98" t="s">
        <v>83</v>
      </c>
      <c r="B40" s="154">
        <v>9800</v>
      </c>
      <c r="C40" s="154">
        <v>19600</v>
      </c>
      <c r="D40" s="154"/>
      <c r="E40" s="154"/>
      <c r="F40" s="144">
        <f t="shared" si="9"/>
        <v>29400</v>
      </c>
    </row>
    <row r="41" spans="1:8">
      <c r="A41" s="61" t="s">
        <v>116</v>
      </c>
      <c r="B41" s="41">
        <v>3.2</v>
      </c>
      <c r="C41" s="41">
        <v>3.4</v>
      </c>
      <c r="D41" s="41"/>
      <c r="E41" s="41"/>
      <c r="F41" s="77">
        <f t="shared" si="9"/>
        <v>6.6</v>
      </c>
    </row>
    <row r="42" spans="1:8">
      <c r="A42" s="61" t="s">
        <v>84</v>
      </c>
      <c r="B42" s="80">
        <f>IF(B40=0,0,B39/B40)</f>
        <v>1.0436832653061223</v>
      </c>
      <c r="C42" s="80">
        <f t="shared" ref="C42:E42" si="11">IF(C40=0,0,C39/C40)</f>
        <v>0.98136244897959168</v>
      </c>
      <c r="D42" s="80">
        <f t="shared" si="11"/>
        <v>0</v>
      </c>
      <c r="E42" s="80">
        <f t="shared" si="11"/>
        <v>0</v>
      </c>
      <c r="F42" s="77">
        <f t="shared" si="9"/>
        <v>2.0250457142857141</v>
      </c>
    </row>
    <row r="46" spans="1:8">
      <c r="A46" s="109" t="s">
        <v>90</v>
      </c>
      <c r="B46" s="113" t="s">
        <v>91</v>
      </c>
      <c r="C46" s="114" t="s">
        <v>92</v>
      </c>
      <c r="D46" s="89" t="s">
        <v>93</v>
      </c>
      <c r="E46" s="115"/>
      <c r="F46" s="114" t="s">
        <v>91</v>
      </c>
      <c r="G46" s="114" t="s">
        <v>92</v>
      </c>
      <c r="H46" s="89" t="s">
        <v>93</v>
      </c>
    </row>
    <row r="47" spans="1:8">
      <c r="A47" s="64" t="s">
        <v>87</v>
      </c>
      <c r="B47" s="163">
        <v>4000</v>
      </c>
      <c r="C47" s="158">
        <v>0.26315</v>
      </c>
      <c r="D47" s="123">
        <f>B47*C47</f>
        <v>1052.5999999999999</v>
      </c>
      <c r="E47" s="135" t="s">
        <v>88</v>
      </c>
      <c r="F47" s="161">
        <f>9000+20000</f>
        <v>29000</v>
      </c>
      <c r="G47" s="124">
        <f>C49</f>
        <v>0.27800000000000002</v>
      </c>
      <c r="H47" s="123">
        <f>F47*G47</f>
        <v>8062.0000000000009</v>
      </c>
    </row>
    <row r="48" spans="1:8">
      <c r="A48" s="64" t="s">
        <v>82</v>
      </c>
      <c r="B48" s="163">
        <v>36000</v>
      </c>
      <c r="C48" s="158">
        <f>B14</f>
        <v>0.27965000000000001</v>
      </c>
      <c r="D48" s="123">
        <f>B48*C48</f>
        <v>10067.4</v>
      </c>
      <c r="E48" s="135" t="s">
        <v>89</v>
      </c>
      <c r="F48" s="162">
        <f>B49-F47</f>
        <v>11000</v>
      </c>
      <c r="G48" s="124">
        <f>G47</f>
        <v>0.27800000000000002</v>
      </c>
      <c r="H48" s="123">
        <f>F48*G48</f>
        <v>3058.0000000000005</v>
      </c>
    </row>
    <row r="49" spans="1:8">
      <c r="A49" s="98" t="s">
        <v>77</v>
      </c>
      <c r="B49" s="164">
        <f>SUM(B47:B48)</f>
        <v>40000</v>
      </c>
      <c r="C49" s="157">
        <f>D49/B49</f>
        <v>0.27800000000000002</v>
      </c>
      <c r="D49" s="81">
        <f>SUM(D47:D48)</f>
        <v>11120</v>
      </c>
      <c r="E49" s="115" t="s">
        <v>77</v>
      </c>
      <c r="F49" s="143">
        <f>SUM(F47:F48)</f>
        <v>40000</v>
      </c>
      <c r="G49" s="80">
        <f>G48</f>
        <v>0.27800000000000002</v>
      </c>
      <c r="H49" s="81">
        <f>F49*G49</f>
        <v>11120.000000000002</v>
      </c>
    </row>
    <row r="50" spans="1:8">
      <c r="G50" s="112" t="s">
        <v>19</v>
      </c>
    </row>
    <row r="51" spans="1:8">
      <c r="C51" s="133"/>
    </row>
    <row r="54" spans="1:8">
      <c r="A54" s="109" t="s">
        <v>104</v>
      </c>
      <c r="B54" s="113" t="s">
        <v>91</v>
      </c>
      <c r="C54" s="114" t="s">
        <v>92</v>
      </c>
      <c r="D54" s="89" t="s">
        <v>93</v>
      </c>
      <c r="E54" s="115"/>
      <c r="F54" s="114" t="s">
        <v>91</v>
      </c>
      <c r="G54" s="114" t="s">
        <v>92</v>
      </c>
      <c r="H54" s="89" t="s">
        <v>93</v>
      </c>
    </row>
    <row r="55" spans="1:8">
      <c r="A55" s="64" t="s">
        <v>87</v>
      </c>
      <c r="B55" s="163">
        <v>5000</v>
      </c>
      <c r="C55" s="122">
        <v>2.34</v>
      </c>
      <c r="D55" s="123">
        <f>B55*C55</f>
        <v>11700</v>
      </c>
      <c r="E55" s="134" t="s">
        <v>106</v>
      </c>
      <c r="F55" s="161">
        <v>19600</v>
      </c>
      <c r="G55" s="124">
        <f>C57</f>
        <v>2.468</v>
      </c>
      <c r="H55" s="123">
        <f>F55*G55</f>
        <v>48372.800000000003</v>
      </c>
    </row>
    <row r="56" spans="1:8">
      <c r="A56" s="64" t="s">
        <v>105</v>
      </c>
      <c r="B56" s="163">
        <v>20000</v>
      </c>
      <c r="C56" s="122">
        <v>2.5</v>
      </c>
      <c r="D56" s="123">
        <f>B56*C56</f>
        <v>50000</v>
      </c>
      <c r="E56" s="134" t="s">
        <v>89</v>
      </c>
      <c r="F56" s="162">
        <f>B57-F55</f>
        <v>5400</v>
      </c>
      <c r="G56" s="124">
        <f>G55</f>
        <v>2.468</v>
      </c>
      <c r="H56" s="123">
        <f>F56*G56</f>
        <v>13327.2</v>
      </c>
    </row>
    <row r="57" spans="1:8">
      <c r="A57" s="98" t="s">
        <v>77</v>
      </c>
      <c r="B57" s="164">
        <f>SUM(B55:B56)</f>
        <v>25000</v>
      </c>
      <c r="C57" s="80">
        <f>D57/B57</f>
        <v>2.468</v>
      </c>
      <c r="D57" s="81">
        <f>SUM(D55:D56)</f>
        <v>61700</v>
      </c>
      <c r="E57" s="115" t="s">
        <v>77</v>
      </c>
      <c r="F57" s="143">
        <f>SUM(F55:F56)</f>
        <v>25000</v>
      </c>
      <c r="G57" s="80">
        <f>G56</f>
        <v>2.468</v>
      </c>
      <c r="H57" s="81">
        <f>F57*G57</f>
        <v>61700</v>
      </c>
    </row>
    <row r="58" spans="1:8">
      <c r="G58" s="112" t="s">
        <v>19</v>
      </c>
    </row>
    <row r="62" spans="1:8">
      <c r="A62" s="109" t="s">
        <v>107</v>
      </c>
      <c r="B62" s="113" t="s">
        <v>94</v>
      </c>
      <c r="C62" s="114" t="s">
        <v>101</v>
      </c>
      <c r="D62" s="114" t="s">
        <v>102</v>
      </c>
      <c r="E62" s="114" t="s">
        <v>103</v>
      </c>
      <c r="F62" s="115" t="s">
        <v>77</v>
      </c>
    </row>
    <row r="63" spans="1:8">
      <c r="A63" s="60" t="s">
        <v>13</v>
      </c>
      <c r="B63" s="41"/>
      <c r="C63" s="41"/>
      <c r="D63" s="41"/>
      <c r="E63" s="41"/>
      <c r="F63" s="119">
        <f>SUM(B63:E63)</f>
        <v>0</v>
      </c>
    </row>
    <row r="64" spans="1:8">
      <c r="A64" s="64" t="s">
        <v>108</v>
      </c>
      <c r="B64" s="41"/>
      <c r="C64" s="41"/>
      <c r="D64" s="41"/>
      <c r="E64" s="41"/>
      <c r="F64" s="119">
        <f t="shared" ref="F64:F67" si="12">SUM(B64:E64)</f>
        <v>0</v>
      </c>
    </row>
    <row r="65" spans="1:9">
      <c r="A65" s="64" t="s">
        <v>109</v>
      </c>
      <c r="B65" s="41"/>
      <c r="C65" s="41"/>
      <c r="D65" s="41"/>
      <c r="E65" s="41"/>
      <c r="F65" s="119">
        <f t="shared" si="12"/>
        <v>0</v>
      </c>
    </row>
    <row r="66" spans="1:9">
      <c r="A66" s="60" t="s">
        <v>110</v>
      </c>
      <c r="B66" s="127">
        <f>SUM(B63:B65)</f>
        <v>0</v>
      </c>
      <c r="C66" s="127">
        <f t="shared" ref="C66:E66" si="13">SUM(C63:C65)</f>
        <v>0</v>
      </c>
      <c r="D66" s="127">
        <f t="shared" si="13"/>
        <v>0</v>
      </c>
      <c r="E66" s="127">
        <f t="shared" si="13"/>
        <v>0</v>
      </c>
      <c r="F66" s="77">
        <f>SUM(B66:E66)</f>
        <v>0</v>
      </c>
    </row>
    <row r="67" spans="1:9">
      <c r="A67" s="98" t="s">
        <v>111</v>
      </c>
      <c r="B67" s="15"/>
      <c r="C67" s="15"/>
      <c r="D67" s="15"/>
      <c r="E67" s="15"/>
      <c r="F67" s="11">
        <f t="shared" si="12"/>
        <v>0</v>
      </c>
    </row>
    <row r="68" spans="1:9">
      <c r="A68" s="61" t="s">
        <v>112</v>
      </c>
      <c r="B68" s="128">
        <f>B67-B66</f>
        <v>0</v>
      </c>
      <c r="C68" s="128">
        <f t="shared" ref="C68:F68" si="14">C67-C66</f>
        <v>0</v>
      </c>
      <c r="D68" s="128">
        <f t="shared" si="14"/>
        <v>0</v>
      </c>
      <c r="E68" s="128">
        <f t="shared" si="14"/>
        <v>0</v>
      </c>
      <c r="F68" s="77">
        <f t="shared" si="14"/>
        <v>0</v>
      </c>
    </row>
    <row r="72" spans="1:9">
      <c r="A72" s="90" t="s">
        <v>5</v>
      </c>
      <c r="B72" s="77">
        <f>B76+B77+B78+B79</f>
        <v>0</v>
      </c>
      <c r="C72" s="12" t="s">
        <v>2</v>
      </c>
      <c r="D72" s="1"/>
      <c r="E72" s="1"/>
      <c r="F72" s="1"/>
      <c r="G72" s="1"/>
      <c r="H72" s="1"/>
      <c r="I72" s="1"/>
    </row>
    <row r="73" spans="1:9">
      <c r="A73" s="90" t="s">
        <v>0</v>
      </c>
      <c r="B73" s="77">
        <f>B76+B80</f>
        <v>0</v>
      </c>
      <c r="C73" s="12" t="s">
        <v>3</v>
      </c>
      <c r="D73" s="1"/>
      <c r="E73" s="1"/>
      <c r="F73" s="1"/>
      <c r="G73" s="1"/>
      <c r="H73" s="1"/>
      <c r="I73" s="1"/>
    </row>
    <row r="74" spans="1:9">
      <c r="A74" s="90" t="s">
        <v>6</v>
      </c>
      <c r="B74" s="77">
        <f>B73+B81</f>
        <v>0</v>
      </c>
      <c r="C74" s="12" t="s">
        <v>4</v>
      </c>
      <c r="D74" s="1"/>
      <c r="E74" s="1"/>
      <c r="F74" s="1"/>
      <c r="G74" s="1"/>
      <c r="H74" s="1"/>
      <c r="I74" s="1"/>
    </row>
    <row r="75" spans="1:9">
      <c r="A75" s="90" t="s">
        <v>5</v>
      </c>
      <c r="B75" s="77">
        <f>B82+B83</f>
        <v>0</v>
      </c>
      <c r="C75" s="12" t="s">
        <v>7</v>
      </c>
      <c r="D75" s="1"/>
      <c r="E75" s="1"/>
      <c r="F75" s="1"/>
      <c r="G75" s="1"/>
      <c r="H75" s="1"/>
      <c r="I75" s="1"/>
    </row>
    <row r="76" spans="1:9">
      <c r="A76" s="91" t="s">
        <v>1</v>
      </c>
      <c r="B76" s="78"/>
    </row>
    <row r="77" spans="1:9">
      <c r="A77" s="91" t="s">
        <v>8</v>
      </c>
      <c r="B77" s="78"/>
    </row>
    <row r="78" spans="1:9">
      <c r="A78" s="91" t="s">
        <v>9</v>
      </c>
      <c r="B78" s="78"/>
    </row>
    <row r="79" spans="1:9">
      <c r="A79" s="91" t="s">
        <v>10</v>
      </c>
      <c r="B79" s="78"/>
    </row>
    <row r="80" spans="1:9">
      <c r="A80" s="91" t="s">
        <v>11</v>
      </c>
      <c r="B80" s="78"/>
    </row>
    <row r="81" spans="1:2">
      <c r="A81" s="91" t="s">
        <v>12</v>
      </c>
      <c r="B81" s="78"/>
    </row>
    <row r="82" spans="1:2">
      <c r="A82" s="91" t="s">
        <v>13</v>
      </c>
      <c r="B82" s="78"/>
    </row>
    <row r="83" spans="1:2">
      <c r="A83" s="91" t="s">
        <v>14</v>
      </c>
      <c r="B83" s="78"/>
    </row>
  </sheetData>
  <mergeCells count="4">
    <mergeCell ref="E2:E3"/>
    <mergeCell ref="C2:D2"/>
    <mergeCell ref="C3:D3"/>
    <mergeCell ref="A1:N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Y76"/>
  <sheetViews>
    <sheetView workbookViewId="0">
      <selection activeCell="G30" sqref="G30"/>
    </sheetView>
  </sheetViews>
  <sheetFormatPr baseColWidth="10" defaultRowHeight="15"/>
  <cols>
    <col min="5" max="5" width="11.5703125" bestFit="1" customWidth="1"/>
    <col min="6" max="6" width="11.85546875" bestFit="1" customWidth="1"/>
    <col min="12" max="13" width="11.85546875" bestFit="1" customWidth="1"/>
    <col min="17" max="17" width="11.5703125" bestFit="1" customWidth="1"/>
    <col min="18" max="18" width="11.85546875" bestFit="1" customWidth="1"/>
    <col min="23" max="23" width="11.5703125" bestFit="1" customWidth="1"/>
    <col min="24" max="25" width="11.85546875" bestFit="1" customWidth="1"/>
  </cols>
  <sheetData>
    <row r="2" spans="1:25">
      <c r="A2" s="139"/>
      <c r="B2" s="139" t="s">
        <v>128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4" spans="1:25">
      <c r="B4" s="84" t="s">
        <v>127</v>
      </c>
      <c r="C4" s="203" t="s">
        <v>15</v>
      </c>
      <c r="D4" s="202"/>
      <c r="E4" s="202"/>
      <c r="F4" s="204"/>
      <c r="G4" s="202" t="s">
        <v>16</v>
      </c>
      <c r="H4" s="202"/>
      <c r="I4" s="202"/>
      <c r="J4" s="203" t="s">
        <v>17</v>
      </c>
      <c r="K4" s="202"/>
      <c r="L4" s="204"/>
      <c r="M4" s="138" t="s">
        <v>18</v>
      </c>
      <c r="O4" s="84" t="s">
        <v>19</v>
      </c>
      <c r="P4" s="203" t="s">
        <v>15</v>
      </c>
      <c r="Q4" s="202"/>
      <c r="R4" s="204"/>
      <c r="S4" s="202" t="s">
        <v>16</v>
      </c>
      <c r="T4" s="202"/>
      <c r="U4" s="202"/>
      <c r="V4" s="203" t="s">
        <v>17</v>
      </c>
      <c r="W4" s="202"/>
      <c r="X4" s="204"/>
      <c r="Y4" s="89" t="s">
        <v>18</v>
      </c>
    </row>
    <row r="5" spans="1:25">
      <c r="B5" s="196" t="s">
        <v>126</v>
      </c>
      <c r="C5" s="13"/>
      <c r="D5" s="2"/>
      <c r="E5" s="2"/>
      <c r="F5" s="6"/>
      <c r="G5" s="13"/>
      <c r="H5" s="2"/>
      <c r="I5" s="6"/>
      <c r="J5" s="166">
        <v>2000</v>
      </c>
      <c r="K5" s="116">
        <v>5</v>
      </c>
      <c r="L5" s="149">
        <f>J5*K5</f>
        <v>10000</v>
      </c>
      <c r="M5" s="199">
        <f>SUM(L5:L10)</f>
        <v>10000</v>
      </c>
      <c r="O5" s="85">
        <v>40940</v>
      </c>
      <c r="P5" s="82"/>
      <c r="Q5" s="83"/>
      <c r="R5" s="81">
        <f t="shared" ref="R5" si="0">P5*Q5</f>
        <v>0</v>
      </c>
      <c r="S5" s="83"/>
      <c r="T5" s="83"/>
      <c r="U5" s="81">
        <f t="shared" ref="U5:U6" si="1">S5*T5</f>
        <v>0</v>
      </c>
      <c r="V5" s="167">
        <v>500</v>
      </c>
      <c r="W5" s="165">
        <v>10</v>
      </c>
      <c r="X5" s="81">
        <f>V5*W5</f>
        <v>5000</v>
      </c>
      <c r="Y5" s="81">
        <f>SUM(X5:X5)</f>
        <v>5000</v>
      </c>
    </row>
    <row r="6" spans="1:25">
      <c r="B6" s="197"/>
      <c r="C6" s="140"/>
      <c r="D6" s="76"/>
      <c r="E6" s="76"/>
      <c r="F6" s="8"/>
      <c r="G6" s="140"/>
      <c r="H6" s="76"/>
      <c r="I6" s="8"/>
      <c r="J6" s="170"/>
      <c r="K6" s="122"/>
      <c r="L6" s="123">
        <f>J6*K6</f>
        <v>0</v>
      </c>
      <c r="M6" s="200"/>
      <c r="O6" s="86">
        <v>40945</v>
      </c>
      <c r="P6" s="166">
        <v>200</v>
      </c>
      <c r="Q6" s="116">
        <v>10.5</v>
      </c>
      <c r="R6" s="149">
        <f>P6*Q6</f>
        <v>2100</v>
      </c>
      <c r="S6" s="166"/>
      <c r="T6" s="127">
        <f>W5</f>
        <v>10</v>
      </c>
      <c r="U6" s="149">
        <f t="shared" si="1"/>
        <v>0</v>
      </c>
      <c r="V6" s="168">
        <f>V5+P6-S6</f>
        <v>700</v>
      </c>
      <c r="W6" s="127">
        <f>X6/V6</f>
        <v>10.142857142857142</v>
      </c>
      <c r="X6" s="149">
        <f>X5+R6-U6</f>
        <v>7100</v>
      </c>
      <c r="Y6" s="149">
        <f>X6</f>
        <v>7100</v>
      </c>
    </row>
    <row r="7" spans="1:25">
      <c r="B7" s="197"/>
      <c r="C7" s="140"/>
      <c r="D7" s="76"/>
      <c r="E7" s="76"/>
      <c r="F7" s="8"/>
      <c r="G7" s="140"/>
      <c r="H7" s="76"/>
      <c r="I7" s="8"/>
      <c r="J7" s="170"/>
      <c r="K7" s="122"/>
      <c r="L7" s="123">
        <f>J7*K7</f>
        <v>0</v>
      </c>
      <c r="M7" s="200"/>
      <c r="O7" s="86">
        <v>40946</v>
      </c>
      <c r="P7" s="166"/>
      <c r="Q7" s="116"/>
      <c r="R7" s="149">
        <f>P7*Q7</f>
        <v>0</v>
      </c>
      <c r="S7" s="166">
        <v>400</v>
      </c>
      <c r="T7" s="127">
        <f>W6</f>
        <v>10.142857142857142</v>
      </c>
      <c r="U7" s="149">
        <f t="shared" ref="U7" si="2">S7*T7</f>
        <v>4057.1428571428569</v>
      </c>
      <c r="V7" s="168">
        <f>V6+P7-S7</f>
        <v>300</v>
      </c>
      <c r="W7" s="127">
        <f>X7/V7</f>
        <v>10.142857142857144</v>
      </c>
      <c r="X7" s="149">
        <f>X6+R7-U7</f>
        <v>3042.8571428571431</v>
      </c>
      <c r="Y7" s="149">
        <f>X7</f>
        <v>3042.8571428571431</v>
      </c>
    </row>
    <row r="8" spans="1:25">
      <c r="B8" s="197"/>
      <c r="C8" s="140"/>
      <c r="D8" s="76"/>
      <c r="E8" s="76"/>
      <c r="F8" s="8"/>
      <c r="G8" s="140"/>
      <c r="H8" s="76"/>
      <c r="I8" s="8"/>
      <c r="J8" s="170"/>
      <c r="K8" s="122"/>
      <c r="L8" s="123">
        <f t="shared" ref="L8:L9" si="3">J8*K8</f>
        <v>0</v>
      </c>
      <c r="M8" s="200"/>
      <c r="O8" s="86">
        <v>40954</v>
      </c>
      <c r="P8" s="166">
        <v>300</v>
      </c>
      <c r="Q8" s="116">
        <v>11</v>
      </c>
      <c r="R8" s="149">
        <f t="shared" ref="R8:R11" si="4">P8*Q8</f>
        <v>3300</v>
      </c>
      <c r="S8" s="166"/>
      <c r="T8" s="127">
        <f t="shared" ref="T8:T11" si="5">W7</f>
        <v>10.142857142857144</v>
      </c>
      <c r="U8" s="149">
        <f t="shared" ref="U8:U11" si="6">S8*T8</f>
        <v>0</v>
      </c>
      <c r="V8" s="168">
        <f t="shared" ref="V8:V11" si="7">V7+P8-S8</f>
        <v>600</v>
      </c>
      <c r="W8" s="127">
        <f t="shared" ref="W8:W10" si="8">X8/V8</f>
        <v>10.571428571428571</v>
      </c>
      <c r="X8" s="149">
        <f t="shared" ref="X8:X11" si="9">X7+R8-U8</f>
        <v>6342.8571428571431</v>
      </c>
      <c r="Y8" s="149">
        <f t="shared" ref="Y8:Y11" si="10">X8</f>
        <v>6342.8571428571431</v>
      </c>
    </row>
    <row r="9" spans="1:25">
      <c r="B9" s="197"/>
      <c r="C9" s="140"/>
      <c r="D9" s="76"/>
      <c r="E9" s="76"/>
      <c r="F9" s="8"/>
      <c r="G9" s="140"/>
      <c r="H9" s="76"/>
      <c r="I9" s="8"/>
      <c r="J9" s="170"/>
      <c r="K9" s="122"/>
      <c r="L9" s="123">
        <f t="shared" si="3"/>
        <v>0</v>
      </c>
      <c r="M9" s="200"/>
      <c r="O9" s="87">
        <v>40962</v>
      </c>
      <c r="P9" s="166">
        <v>300</v>
      </c>
      <c r="Q9" s="116">
        <v>11.5</v>
      </c>
      <c r="R9" s="149">
        <f t="shared" si="4"/>
        <v>3450</v>
      </c>
      <c r="S9" s="166"/>
      <c r="T9" s="127">
        <f t="shared" si="5"/>
        <v>10.571428571428571</v>
      </c>
      <c r="U9" s="149">
        <f t="shared" si="6"/>
        <v>0</v>
      </c>
      <c r="V9" s="168">
        <f t="shared" si="7"/>
        <v>900</v>
      </c>
      <c r="W9" s="127">
        <f t="shared" si="8"/>
        <v>10.880952380952381</v>
      </c>
      <c r="X9" s="149">
        <f t="shared" si="9"/>
        <v>9792.8571428571431</v>
      </c>
      <c r="Y9" s="149">
        <f t="shared" si="10"/>
        <v>9792.8571428571431</v>
      </c>
    </row>
    <row r="10" spans="1:25">
      <c r="B10" s="197"/>
      <c r="C10" s="141"/>
      <c r="D10" s="5"/>
      <c r="E10" s="5"/>
      <c r="F10" s="7"/>
      <c r="G10" s="5"/>
      <c r="H10" s="5"/>
      <c r="I10" s="7"/>
      <c r="J10" s="177"/>
      <c r="K10" s="117"/>
      <c r="L10" s="150">
        <f>J10*K10</f>
        <v>0</v>
      </c>
      <c r="M10" s="201"/>
      <c r="O10" s="87">
        <v>40964</v>
      </c>
      <c r="P10" s="166"/>
      <c r="Q10" s="116"/>
      <c r="R10" s="149">
        <f t="shared" si="4"/>
        <v>0</v>
      </c>
      <c r="S10" s="166">
        <v>200</v>
      </c>
      <c r="T10" s="127">
        <f t="shared" si="5"/>
        <v>10.880952380952381</v>
      </c>
      <c r="U10" s="149">
        <f t="shared" si="6"/>
        <v>2176.1904761904761</v>
      </c>
      <c r="V10" s="168">
        <f t="shared" si="7"/>
        <v>700</v>
      </c>
      <c r="W10" s="127">
        <f t="shared" si="8"/>
        <v>10.880952380952381</v>
      </c>
      <c r="X10" s="149">
        <f t="shared" si="9"/>
        <v>7616.666666666667</v>
      </c>
      <c r="Y10" s="149">
        <f t="shared" si="10"/>
        <v>7616.666666666667</v>
      </c>
    </row>
    <row r="11" spans="1:25">
      <c r="B11" s="196">
        <v>40923</v>
      </c>
      <c r="C11" s="172"/>
      <c r="D11" s="14"/>
      <c r="E11" s="127">
        <f>IF(D11=0,K5,D11)</f>
        <v>5</v>
      </c>
      <c r="F11" s="149">
        <f t="shared" ref="F11:F42" si="11">C11*E11</f>
        <v>0</v>
      </c>
      <c r="G11" s="166">
        <v>500</v>
      </c>
      <c r="H11" s="127">
        <f>K11</f>
        <v>5</v>
      </c>
      <c r="I11" s="149">
        <f t="shared" ref="I11:I15" si="12">G11*H11</f>
        <v>2500</v>
      </c>
      <c r="J11" s="168">
        <f t="shared" ref="J11:J22" si="13">IF(C11&lt;=0,J5-G11,J5+C11-G11)</f>
        <v>1500</v>
      </c>
      <c r="K11" s="127">
        <f>E11</f>
        <v>5</v>
      </c>
      <c r="L11" s="149">
        <f>J11*K11</f>
        <v>7500</v>
      </c>
      <c r="M11" s="199">
        <f>SUM(L11:L16)</f>
        <v>7500</v>
      </c>
      <c r="O11" s="88">
        <v>40966</v>
      </c>
      <c r="P11" s="167"/>
      <c r="Q11" s="165"/>
      <c r="R11" s="81">
        <f t="shared" si="4"/>
        <v>0</v>
      </c>
      <c r="S11" s="167">
        <v>500</v>
      </c>
      <c r="T11" s="80">
        <f t="shared" si="5"/>
        <v>10.880952380952381</v>
      </c>
      <c r="U11" s="81">
        <f t="shared" si="6"/>
        <v>5440.4761904761908</v>
      </c>
      <c r="V11" s="169">
        <f t="shared" si="7"/>
        <v>200</v>
      </c>
      <c r="W11" s="80">
        <f>X11/V11</f>
        <v>10.880952380952381</v>
      </c>
      <c r="X11" s="81">
        <f t="shared" si="9"/>
        <v>2176.1904761904761</v>
      </c>
      <c r="Y11" s="81">
        <f t="shared" si="10"/>
        <v>2176.1904761904761</v>
      </c>
    </row>
    <row r="12" spans="1:25">
      <c r="B12" s="197"/>
      <c r="C12" s="173"/>
      <c r="D12" s="99"/>
      <c r="E12" s="124">
        <f t="shared" ref="E12:E75" si="14">IF(D12=0,K6,D12)</f>
        <v>0</v>
      </c>
      <c r="F12" s="123">
        <f t="shared" si="11"/>
        <v>0</v>
      </c>
      <c r="G12" s="170"/>
      <c r="H12" s="124">
        <f t="shared" ref="H12:H16" si="15">K12</f>
        <v>0</v>
      </c>
      <c r="I12" s="123">
        <f t="shared" si="12"/>
        <v>0</v>
      </c>
      <c r="J12" s="178">
        <f t="shared" si="13"/>
        <v>0</v>
      </c>
      <c r="K12" s="124">
        <f t="shared" ref="K12:K16" si="16">E12</f>
        <v>0</v>
      </c>
      <c r="L12" s="123">
        <f>J12*K12</f>
        <v>0</v>
      </c>
      <c r="M12" s="200"/>
      <c r="O12" s="88">
        <v>40967</v>
      </c>
      <c r="P12" s="167">
        <v>1200</v>
      </c>
      <c r="Q12" s="165">
        <v>10.5</v>
      </c>
      <c r="R12" s="81">
        <f t="shared" ref="R12" si="17">P12*Q12</f>
        <v>12600</v>
      </c>
      <c r="S12" s="167"/>
      <c r="T12" s="80">
        <f t="shared" ref="T12" si="18">W11</f>
        <v>10.880952380952381</v>
      </c>
      <c r="U12" s="81">
        <f t="shared" ref="U12" si="19">S12*T12</f>
        <v>0</v>
      </c>
      <c r="V12" s="169">
        <f t="shared" ref="V12" si="20">V11+P12-S12</f>
        <v>1400</v>
      </c>
      <c r="W12" s="80">
        <f>X12/V12</f>
        <v>10.554421768707483</v>
      </c>
      <c r="X12" s="81">
        <f t="shared" ref="X12" si="21">X11+R12-U12</f>
        <v>14776.190476190477</v>
      </c>
      <c r="Y12" s="81">
        <f t="shared" ref="Y12" si="22">X12</f>
        <v>14776.190476190477</v>
      </c>
    </row>
    <row r="13" spans="1:25">
      <c r="B13" s="197"/>
      <c r="C13" s="173"/>
      <c r="D13" s="99"/>
      <c r="E13" s="124">
        <f t="shared" si="14"/>
        <v>0</v>
      </c>
      <c r="F13" s="123">
        <f t="shared" si="11"/>
        <v>0</v>
      </c>
      <c r="G13" s="170"/>
      <c r="H13" s="124">
        <f t="shared" si="15"/>
        <v>0</v>
      </c>
      <c r="I13" s="123">
        <f t="shared" si="12"/>
        <v>0</v>
      </c>
      <c r="J13" s="178">
        <f t="shared" si="13"/>
        <v>0</v>
      </c>
      <c r="K13" s="124">
        <f t="shared" si="16"/>
        <v>0</v>
      </c>
      <c r="L13" s="123">
        <f>J13*K13</f>
        <v>0</v>
      </c>
      <c r="M13" s="200"/>
    </row>
    <row r="14" spans="1:25">
      <c r="B14" s="197"/>
      <c r="C14" s="173"/>
      <c r="D14" s="99"/>
      <c r="E14" s="124">
        <f t="shared" si="14"/>
        <v>0</v>
      </c>
      <c r="F14" s="123">
        <f t="shared" si="11"/>
        <v>0</v>
      </c>
      <c r="G14" s="170"/>
      <c r="H14" s="124">
        <f t="shared" si="15"/>
        <v>0</v>
      </c>
      <c r="I14" s="123">
        <f t="shared" si="12"/>
        <v>0</v>
      </c>
      <c r="J14" s="178">
        <f t="shared" si="13"/>
        <v>0</v>
      </c>
      <c r="K14" s="124">
        <f t="shared" si="16"/>
        <v>0</v>
      </c>
      <c r="L14" s="123">
        <f t="shared" ref="L14:L16" si="23">J14*K14</f>
        <v>0</v>
      </c>
      <c r="M14" s="200"/>
    </row>
    <row r="15" spans="1:25">
      <c r="B15" s="197"/>
      <c r="C15" s="173"/>
      <c r="D15" s="99"/>
      <c r="E15" s="124">
        <f t="shared" si="14"/>
        <v>0</v>
      </c>
      <c r="F15" s="123">
        <f t="shared" si="11"/>
        <v>0</v>
      </c>
      <c r="G15" s="170"/>
      <c r="H15" s="124">
        <f t="shared" si="15"/>
        <v>0</v>
      </c>
      <c r="I15" s="123">
        <f t="shared" si="12"/>
        <v>0</v>
      </c>
      <c r="J15" s="178">
        <f t="shared" si="13"/>
        <v>0</v>
      </c>
      <c r="K15" s="124">
        <f t="shared" si="16"/>
        <v>0</v>
      </c>
      <c r="L15" s="123">
        <f t="shared" si="23"/>
        <v>0</v>
      </c>
      <c r="M15" s="200"/>
    </row>
    <row r="16" spans="1:25">
      <c r="B16" s="198"/>
      <c r="C16" s="174"/>
      <c r="D16" s="142"/>
      <c r="E16" s="128">
        <f t="shared" si="14"/>
        <v>0</v>
      </c>
      <c r="F16" s="150">
        <f t="shared" si="11"/>
        <v>0</v>
      </c>
      <c r="G16" s="171"/>
      <c r="H16" s="128">
        <f t="shared" si="15"/>
        <v>0</v>
      </c>
      <c r="I16" s="150">
        <f>G16*H16</f>
        <v>0</v>
      </c>
      <c r="J16" s="179">
        <f t="shared" si="13"/>
        <v>0</v>
      </c>
      <c r="K16" s="128">
        <f t="shared" si="16"/>
        <v>0</v>
      </c>
      <c r="L16" s="150">
        <f t="shared" si="23"/>
        <v>0</v>
      </c>
      <c r="M16" s="201"/>
    </row>
    <row r="17" spans="2:13">
      <c r="B17" s="196">
        <v>40939</v>
      </c>
      <c r="C17" s="172"/>
      <c r="D17" s="116"/>
      <c r="E17" s="127">
        <f t="shared" si="14"/>
        <v>5</v>
      </c>
      <c r="F17" s="149">
        <f t="shared" si="11"/>
        <v>0</v>
      </c>
      <c r="G17" s="166">
        <v>700</v>
      </c>
      <c r="H17" s="127">
        <f>K17</f>
        <v>5</v>
      </c>
      <c r="I17" s="149">
        <f t="shared" ref="I17:I21" si="24">G17*H17</f>
        <v>3500</v>
      </c>
      <c r="J17" s="168">
        <f t="shared" si="13"/>
        <v>800</v>
      </c>
      <c r="K17" s="127">
        <f>E17</f>
        <v>5</v>
      </c>
      <c r="L17" s="149">
        <f>J17*K17</f>
        <v>4000</v>
      </c>
      <c r="M17" s="199">
        <f>SUM(L17:L22)</f>
        <v>4000</v>
      </c>
    </row>
    <row r="18" spans="2:13">
      <c r="B18" s="197"/>
      <c r="C18" s="175"/>
      <c r="D18" s="122"/>
      <c r="E18" s="124">
        <f t="shared" si="14"/>
        <v>0</v>
      </c>
      <c r="F18" s="123">
        <f t="shared" si="11"/>
        <v>0</v>
      </c>
      <c r="G18" s="170"/>
      <c r="H18" s="124">
        <f>K18</f>
        <v>0</v>
      </c>
      <c r="I18" s="123">
        <f t="shared" si="24"/>
        <v>0</v>
      </c>
      <c r="J18" s="178">
        <f t="shared" si="13"/>
        <v>0</v>
      </c>
      <c r="K18" s="124">
        <f t="shared" ref="K18:K22" si="25">E18</f>
        <v>0</v>
      </c>
      <c r="L18" s="123">
        <f>J18*K18</f>
        <v>0</v>
      </c>
      <c r="M18" s="200"/>
    </row>
    <row r="19" spans="2:13">
      <c r="B19" s="197"/>
      <c r="C19" s="175"/>
      <c r="D19" s="122"/>
      <c r="E19" s="124">
        <f t="shared" si="14"/>
        <v>0</v>
      </c>
      <c r="F19" s="123">
        <f t="shared" si="11"/>
        <v>0</v>
      </c>
      <c r="G19" s="170"/>
      <c r="H19" s="124">
        <f t="shared" ref="H19:H22" si="26">K19</f>
        <v>0</v>
      </c>
      <c r="I19" s="123">
        <f t="shared" si="24"/>
        <v>0</v>
      </c>
      <c r="J19" s="178">
        <f t="shared" si="13"/>
        <v>0</v>
      </c>
      <c r="K19" s="124">
        <f t="shared" si="25"/>
        <v>0</v>
      </c>
      <c r="L19" s="123">
        <f>J19*K19</f>
        <v>0</v>
      </c>
      <c r="M19" s="200"/>
    </row>
    <row r="20" spans="2:13">
      <c r="B20" s="197"/>
      <c r="C20" s="175"/>
      <c r="D20" s="122"/>
      <c r="E20" s="124">
        <f t="shared" si="14"/>
        <v>0</v>
      </c>
      <c r="F20" s="123">
        <f t="shared" si="11"/>
        <v>0</v>
      </c>
      <c r="G20" s="170"/>
      <c r="H20" s="124">
        <f t="shared" si="26"/>
        <v>0</v>
      </c>
      <c r="I20" s="123">
        <f t="shared" si="24"/>
        <v>0</v>
      </c>
      <c r="J20" s="178">
        <f t="shared" si="13"/>
        <v>0</v>
      </c>
      <c r="K20" s="124">
        <f t="shared" si="25"/>
        <v>0</v>
      </c>
      <c r="L20" s="123">
        <f t="shared" ref="L20:L22" si="27">J20*K20</f>
        <v>0</v>
      </c>
      <c r="M20" s="200"/>
    </row>
    <row r="21" spans="2:13">
      <c r="B21" s="197"/>
      <c r="C21" s="175"/>
      <c r="D21" s="122"/>
      <c r="E21" s="124">
        <f t="shared" si="14"/>
        <v>0</v>
      </c>
      <c r="F21" s="123">
        <f t="shared" si="11"/>
        <v>0</v>
      </c>
      <c r="G21" s="170"/>
      <c r="H21" s="124">
        <f t="shared" si="26"/>
        <v>0</v>
      </c>
      <c r="I21" s="123">
        <f t="shared" si="24"/>
        <v>0</v>
      </c>
      <c r="J21" s="178">
        <f t="shared" si="13"/>
        <v>0</v>
      </c>
      <c r="K21" s="124">
        <f t="shared" si="25"/>
        <v>0</v>
      </c>
      <c r="L21" s="123">
        <f t="shared" si="27"/>
        <v>0</v>
      </c>
      <c r="M21" s="200"/>
    </row>
    <row r="22" spans="2:13">
      <c r="B22" s="198"/>
      <c r="C22" s="175"/>
      <c r="D22" s="122"/>
      <c r="E22" s="128">
        <f t="shared" si="14"/>
        <v>0</v>
      </c>
      <c r="F22" s="150">
        <f t="shared" si="11"/>
        <v>0</v>
      </c>
      <c r="G22" s="171"/>
      <c r="H22" s="128">
        <f t="shared" si="26"/>
        <v>0</v>
      </c>
      <c r="I22" s="150">
        <f>G22*H22</f>
        <v>0</v>
      </c>
      <c r="J22" s="179">
        <f t="shared" si="13"/>
        <v>0</v>
      </c>
      <c r="K22" s="128">
        <f t="shared" si="25"/>
        <v>0</v>
      </c>
      <c r="L22" s="150">
        <f t="shared" si="27"/>
        <v>0</v>
      </c>
      <c r="M22" s="201"/>
    </row>
    <row r="23" spans="2:13">
      <c r="B23" s="196">
        <v>40940</v>
      </c>
      <c r="C23" s="172"/>
      <c r="D23" s="116"/>
      <c r="E23" s="127">
        <f t="shared" si="14"/>
        <v>5</v>
      </c>
      <c r="F23" s="149">
        <f t="shared" si="11"/>
        <v>0</v>
      </c>
      <c r="G23" s="166"/>
      <c r="H23" s="127">
        <f>K23</f>
        <v>5</v>
      </c>
      <c r="I23" s="149">
        <f t="shared" ref="I23:I27" si="28">G23*H23</f>
        <v>0</v>
      </c>
      <c r="J23" s="168">
        <f t="shared" ref="J23:J34" si="29">IF(C23&lt;=0,J17-G23,J17+C23-G23)</f>
        <v>800</v>
      </c>
      <c r="K23" s="127">
        <f>E23</f>
        <v>5</v>
      </c>
      <c r="L23" s="149">
        <f>J23*K23</f>
        <v>4000</v>
      </c>
      <c r="M23" s="199">
        <f>SUM(L23:L28)</f>
        <v>11200</v>
      </c>
    </row>
    <row r="24" spans="2:13">
      <c r="B24" s="197"/>
      <c r="C24" s="175">
        <v>1200</v>
      </c>
      <c r="D24" s="122">
        <v>6</v>
      </c>
      <c r="E24" s="124">
        <f t="shared" si="14"/>
        <v>6</v>
      </c>
      <c r="F24" s="123">
        <f t="shared" si="11"/>
        <v>7200</v>
      </c>
      <c r="G24" s="170"/>
      <c r="H24" s="124">
        <f>K24</f>
        <v>6</v>
      </c>
      <c r="I24" s="123">
        <f t="shared" si="28"/>
        <v>0</v>
      </c>
      <c r="J24" s="178">
        <f t="shared" si="29"/>
        <v>1200</v>
      </c>
      <c r="K24" s="124">
        <f t="shared" ref="K24:K28" si="30">E24</f>
        <v>6</v>
      </c>
      <c r="L24" s="123">
        <f>J24*K24</f>
        <v>7200</v>
      </c>
      <c r="M24" s="200"/>
    </row>
    <row r="25" spans="2:13">
      <c r="B25" s="197"/>
      <c r="C25" s="175"/>
      <c r="D25" s="122"/>
      <c r="E25" s="124">
        <f t="shared" si="14"/>
        <v>0</v>
      </c>
      <c r="F25" s="123">
        <f t="shared" si="11"/>
        <v>0</v>
      </c>
      <c r="G25" s="170"/>
      <c r="H25" s="124">
        <f t="shared" ref="H25:H28" si="31">K25</f>
        <v>0</v>
      </c>
      <c r="I25" s="123">
        <f t="shared" si="28"/>
        <v>0</v>
      </c>
      <c r="J25" s="178">
        <f t="shared" si="29"/>
        <v>0</v>
      </c>
      <c r="K25" s="124">
        <f t="shared" si="30"/>
        <v>0</v>
      </c>
      <c r="L25" s="123">
        <f>J25*K25</f>
        <v>0</v>
      </c>
      <c r="M25" s="200"/>
    </row>
    <row r="26" spans="2:13">
      <c r="B26" s="197"/>
      <c r="C26" s="175"/>
      <c r="D26" s="122"/>
      <c r="E26" s="124">
        <f t="shared" si="14"/>
        <v>0</v>
      </c>
      <c r="F26" s="123">
        <f t="shared" si="11"/>
        <v>0</v>
      </c>
      <c r="G26" s="170"/>
      <c r="H26" s="124">
        <f t="shared" si="31"/>
        <v>0</v>
      </c>
      <c r="I26" s="123">
        <f t="shared" si="28"/>
        <v>0</v>
      </c>
      <c r="J26" s="178">
        <f t="shared" si="29"/>
        <v>0</v>
      </c>
      <c r="K26" s="124">
        <f t="shared" si="30"/>
        <v>0</v>
      </c>
      <c r="L26" s="123">
        <f t="shared" ref="L26:L28" si="32">J26*K26</f>
        <v>0</v>
      </c>
      <c r="M26" s="200"/>
    </row>
    <row r="27" spans="2:13">
      <c r="B27" s="197"/>
      <c r="C27" s="175"/>
      <c r="D27" s="122"/>
      <c r="E27" s="124">
        <f t="shared" si="14"/>
        <v>0</v>
      </c>
      <c r="F27" s="123">
        <f t="shared" si="11"/>
        <v>0</v>
      </c>
      <c r="G27" s="170"/>
      <c r="H27" s="124">
        <f t="shared" si="31"/>
        <v>0</v>
      </c>
      <c r="I27" s="123">
        <f t="shared" si="28"/>
        <v>0</v>
      </c>
      <c r="J27" s="178">
        <f t="shared" si="29"/>
        <v>0</v>
      </c>
      <c r="K27" s="124">
        <f t="shared" si="30"/>
        <v>0</v>
      </c>
      <c r="L27" s="123">
        <f t="shared" si="32"/>
        <v>0</v>
      </c>
      <c r="M27" s="200"/>
    </row>
    <row r="28" spans="2:13">
      <c r="B28" s="198"/>
      <c r="C28" s="175"/>
      <c r="D28" s="122"/>
      <c r="E28" s="128">
        <f t="shared" si="14"/>
        <v>0</v>
      </c>
      <c r="F28" s="150">
        <f t="shared" si="11"/>
        <v>0</v>
      </c>
      <c r="G28" s="171"/>
      <c r="H28" s="128">
        <f t="shared" si="31"/>
        <v>0</v>
      </c>
      <c r="I28" s="150">
        <f>G28*H28</f>
        <v>0</v>
      </c>
      <c r="J28" s="179">
        <f t="shared" si="29"/>
        <v>0</v>
      </c>
      <c r="K28" s="128">
        <f t="shared" si="30"/>
        <v>0</v>
      </c>
      <c r="L28" s="150">
        <f t="shared" si="32"/>
        <v>0</v>
      </c>
      <c r="M28" s="201"/>
    </row>
    <row r="29" spans="2:13">
      <c r="B29" s="196">
        <v>40954</v>
      </c>
      <c r="C29" s="172"/>
      <c r="D29" s="116"/>
      <c r="E29" s="127">
        <f t="shared" si="14"/>
        <v>5</v>
      </c>
      <c r="F29" s="149">
        <f t="shared" si="11"/>
        <v>0</v>
      </c>
      <c r="G29" s="166">
        <v>600</v>
      </c>
      <c r="H29" s="127">
        <f>K29</f>
        <v>5</v>
      </c>
      <c r="I29" s="149">
        <f t="shared" ref="I29:I33" si="33">G29*H29</f>
        <v>3000</v>
      </c>
      <c r="J29" s="168">
        <f t="shared" si="29"/>
        <v>200</v>
      </c>
      <c r="K29" s="127">
        <f>E29</f>
        <v>5</v>
      </c>
      <c r="L29" s="149">
        <f>J29*K29</f>
        <v>1000</v>
      </c>
      <c r="M29" s="199">
        <f>SUM(L29:L34)</f>
        <v>8200</v>
      </c>
    </row>
    <row r="30" spans="2:13">
      <c r="B30" s="197"/>
      <c r="C30" s="175"/>
      <c r="D30" s="122"/>
      <c r="E30" s="124">
        <f t="shared" si="14"/>
        <v>6</v>
      </c>
      <c r="F30" s="123">
        <f t="shared" si="11"/>
        <v>0</v>
      </c>
      <c r="G30" s="170"/>
      <c r="H30" s="124">
        <f>K30</f>
        <v>6</v>
      </c>
      <c r="I30" s="123">
        <f t="shared" si="33"/>
        <v>0</v>
      </c>
      <c r="J30" s="178">
        <f t="shared" si="29"/>
        <v>1200</v>
      </c>
      <c r="K30" s="124">
        <f t="shared" ref="K30:K34" si="34">E30</f>
        <v>6</v>
      </c>
      <c r="L30" s="123">
        <f>J30*K30</f>
        <v>7200</v>
      </c>
      <c r="M30" s="200"/>
    </row>
    <row r="31" spans="2:13">
      <c r="B31" s="197"/>
      <c r="C31" s="175"/>
      <c r="D31" s="122"/>
      <c r="E31" s="124">
        <f t="shared" si="14"/>
        <v>0</v>
      </c>
      <c r="F31" s="123">
        <f t="shared" si="11"/>
        <v>0</v>
      </c>
      <c r="G31" s="170"/>
      <c r="H31" s="124">
        <f t="shared" ref="H31:H34" si="35">K31</f>
        <v>0</v>
      </c>
      <c r="I31" s="123">
        <f t="shared" si="33"/>
        <v>0</v>
      </c>
      <c r="J31" s="178">
        <f t="shared" si="29"/>
        <v>0</v>
      </c>
      <c r="K31" s="124">
        <f t="shared" si="34"/>
        <v>0</v>
      </c>
      <c r="L31" s="123">
        <f>J31*K31</f>
        <v>0</v>
      </c>
      <c r="M31" s="200"/>
    </row>
    <row r="32" spans="2:13">
      <c r="B32" s="197"/>
      <c r="C32" s="175"/>
      <c r="D32" s="122"/>
      <c r="E32" s="124">
        <f t="shared" si="14"/>
        <v>0</v>
      </c>
      <c r="F32" s="123">
        <f t="shared" si="11"/>
        <v>0</v>
      </c>
      <c r="G32" s="170"/>
      <c r="H32" s="124">
        <f t="shared" si="35"/>
        <v>0</v>
      </c>
      <c r="I32" s="123">
        <f t="shared" si="33"/>
        <v>0</v>
      </c>
      <c r="J32" s="178">
        <f t="shared" si="29"/>
        <v>0</v>
      </c>
      <c r="K32" s="124">
        <f t="shared" si="34"/>
        <v>0</v>
      </c>
      <c r="L32" s="123">
        <f t="shared" ref="L32:L34" si="36">J32*K32</f>
        <v>0</v>
      </c>
      <c r="M32" s="200"/>
    </row>
    <row r="33" spans="2:13">
      <c r="B33" s="197"/>
      <c r="C33" s="175"/>
      <c r="D33" s="122"/>
      <c r="E33" s="124">
        <f t="shared" si="14"/>
        <v>0</v>
      </c>
      <c r="F33" s="123">
        <f t="shared" si="11"/>
        <v>0</v>
      </c>
      <c r="G33" s="170"/>
      <c r="H33" s="124">
        <f t="shared" si="35"/>
        <v>0</v>
      </c>
      <c r="I33" s="123">
        <f t="shared" si="33"/>
        <v>0</v>
      </c>
      <c r="J33" s="178">
        <f t="shared" si="29"/>
        <v>0</v>
      </c>
      <c r="K33" s="124">
        <f t="shared" si="34"/>
        <v>0</v>
      </c>
      <c r="L33" s="123">
        <f t="shared" si="36"/>
        <v>0</v>
      </c>
      <c r="M33" s="200"/>
    </row>
    <row r="34" spans="2:13">
      <c r="B34" s="198"/>
      <c r="C34" s="175"/>
      <c r="D34" s="122"/>
      <c r="E34" s="128">
        <f t="shared" si="14"/>
        <v>0</v>
      </c>
      <c r="F34" s="150">
        <f t="shared" si="11"/>
        <v>0</v>
      </c>
      <c r="G34" s="171"/>
      <c r="H34" s="128">
        <f t="shared" si="35"/>
        <v>0</v>
      </c>
      <c r="I34" s="150">
        <f>G34*H34</f>
        <v>0</v>
      </c>
      <c r="J34" s="179">
        <f t="shared" si="29"/>
        <v>0</v>
      </c>
      <c r="K34" s="128">
        <f t="shared" si="34"/>
        <v>0</v>
      </c>
      <c r="L34" s="150">
        <f t="shared" si="36"/>
        <v>0</v>
      </c>
      <c r="M34" s="201"/>
    </row>
    <row r="35" spans="2:13">
      <c r="B35" s="196">
        <v>40967</v>
      </c>
      <c r="C35" s="172"/>
      <c r="D35" s="116"/>
      <c r="E35" s="127">
        <f t="shared" si="14"/>
        <v>5</v>
      </c>
      <c r="F35" s="149">
        <f t="shared" si="11"/>
        <v>0</v>
      </c>
      <c r="G35" s="166">
        <v>200</v>
      </c>
      <c r="H35" s="127">
        <f>K35</f>
        <v>5</v>
      </c>
      <c r="I35" s="149">
        <f t="shared" ref="I35:I39" si="37">G35*H35</f>
        <v>1000</v>
      </c>
      <c r="J35" s="168">
        <f>IF(C35&lt;=0,J29-G35,J29+C35-G35)</f>
        <v>0</v>
      </c>
      <c r="K35" s="127">
        <f>E35</f>
        <v>5</v>
      </c>
      <c r="L35" s="149">
        <f>J35*K35</f>
        <v>0</v>
      </c>
      <c r="M35" s="199">
        <f>SUM(L35:L40)</f>
        <v>4080</v>
      </c>
    </row>
    <row r="36" spans="2:13">
      <c r="B36" s="197"/>
      <c r="C36" s="175"/>
      <c r="D36" s="122"/>
      <c r="E36" s="124">
        <f t="shared" si="14"/>
        <v>6</v>
      </c>
      <c r="F36" s="123">
        <f t="shared" si="11"/>
        <v>0</v>
      </c>
      <c r="G36" s="170">
        <f>720-G35</f>
        <v>520</v>
      </c>
      <c r="H36" s="124">
        <f>K36</f>
        <v>6</v>
      </c>
      <c r="I36" s="123">
        <f t="shared" si="37"/>
        <v>3120</v>
      </c>
      <c r="J36" s="178">
        <f t="shared" ref="J36:J40" si="38">IF(C36&lt;=0,J30-G36,J30+C36-G36)</f>
        <v>680</v>
      </c>
      <c r="K36" s="124">
        <f t="shared" ref="K36:K40" si="39">E36</f>
        <v>6</v>
      </c>
      <c r="L36" s="123">
        <f>J36*K36</f>
        <v>4080</v>
      </c>
      <c r="M36" s="200"/>
    </row>
    <row r="37" spans="2:13">
      <c r="B37" s="197"/>
      <c r="C37" s="175"/>
      <c r="D37" s="122"/>
      <c r="E37" s="124">
        <f t="shared" si="14"/>
        <v>0</v>
      </c>
      <c r="F37" s="123">
        <f t="shared" si="11"/>
        <v>0</v>
      </c>
      <c r="G37" s="170"/>
      <c r="H37" s="124">
        <f t="shared" ref="H37:H40" si="40">K37</f>
        <v>0</v>
      </c>
      <c r="I37" s="123">
        <f t="shared" si="37"/>
        <v>0</v>
      </c>
      <c r="J37" s="178">
        <f t="shared" si="38"/>
        <v>0</v>
      </c>
      <c r="K37" s="124">
        <f t="shared" si="39"/>
        <v>0</v>
      </c>
      <c r="L37" s="123">
        <f>J37*K37</f>
        <v>0</v>
      </c>
      <c r="M37" s="200"/>
    </row>
    <row r="38" spans="2:13">
      <c r="B38" s="197"/>
      <c r="C38" s="175"/>
      <c r="D38" s="122"/>
      <c r="E38" s="124">
        <f t="shared" si="14"/>
        <v>0</v>
      </c>
      <c r="F38" s="123">
        <f t="shared" si="11"/>
        <v>0</v>
      </c>
      <c r="G38" s="170"/>
      <c r="H38" s="124">
        <f t="shared" si="40"/>
        <v>0</v>
      </c>
      <c r="I38" s="123">
        <f t="shared" si="37"/>
        <v>0</v>
      </c>
      <c r="J38" s="178">
        <f t="shared" si="38"/>
        <v>0</v>
      </c>
      <c r="K38" s="124">
        <f t="shared" si="39"/>
        <v>0</v>
      </c>
      <c r="L38" s="123">
        <f t="shared" ref="L38:L40" si="41">J38*K38</f>
        <v>0</v>
      </c>
      <c r="M38" s="200"/>
    </row>
    <row r="39" spans="2:13">
      <c r="B39" s="197"/>
      <c r="C39" s="175"/>
      <c r="D39" s="122"/>
      <c r="E39" s="124">
        <f t="shared" si="14"/>
        <v>0</v>
      </c>
      <c r="F39" s="123">
        <f t="shared" si="11"/>
        <v>0</v>
      </c>
      <c r="G39" s="170"/>
      <c r="H39" s="124">
        <f t="shared" si="40"/>
        <v>0</v>
      </c>
      <c r="I39" s="123">
        <f t="shared" si="37"/>
        <v>0</v>
      </c>
      <c r="J39" s="178">
        <f t="shared" si="38"/>
        <v>0</v>
      </c>
      <c r="K39" s="124">
        <f t="shared" si="39"/>
        <v>0</v>
      </c>
      <c r="L39" s="123">
        <f t="shared" si="41"/>
        <v>0</v>
      </c>
      <c r="M39" s="200"/>
    </row>
    <row r="40" spans="2:13">
      <c r="B40" s="198"/>
      <c r="C40" s="176"/>
      <c r="D40" s="117"/>
      <c r="E40" s="128">
        <f t="shared" si="14"/>
        <v>0</v>
      </c>
      <c r="F40" s="150">
        <f t="shared" si="11"/>
        <v>0</v>
      </c>
      <c r="G40" s="171"/>
      <c r="H40" s="128">
        <f t="shared" si="40"/>
        <v>0</v>
      </c>
      <c r="I40" s="150">
        <f>G40*H40</f>
        <v>0</v>
      </c>
      <c r="J40" s="179">
        <f t="shared" si="38"/>
        <v>0</v>
      </c>
      <c r="K40" s="128">
        <f t="shared" si="39"/>
        <v>0</v>
      </c>
      <c r="L40" s="150">
        <f t="shared" si="41"/>
        <v>0</v>
      </c>
      <c r="M40" s="201"/>
    </row>
    <row r="41" spans="2:13">
      <c r="B41" s="196">
        <v>40969</v>
      </c>
      <c r="C41" s="172"/>
      <c r="D41" s="116"/>
      <c r="E41" s="127">
        <f t="shared" si="14"/>
        <v>5</v>
      </c>
      <c r="F41" s="149">
        <f t="shared" si="11"/>
        <v>0</v>
      </c>
      <c r="G41" s="166"/>
      <c r="H41" s="127">
        <f>K41</f>
        <v>5</v>
      </c>
      <c r="I41" s="149">
        <f t="shared" ref="I41:I45" si="42">G41*H41</f>
        <v>0</v>
      </c>
      <c r="J41" s="168">
        <f>IF(C41&lt;=0,J35-G41,J35+C41-G41)</f>
        <v>0</v>
      </c>
      <c r="K41" s="127">
        <f>E41</f>
        <v>5</v>
      </c>
      <c r="L41" s="149">
        <f>J41*K41</f>
        <v>0</v>
      </c>
      <c r="M41" s="199">
        <f>SUM(L41:L46)</f>
        <v>14772</v>
      </c>
    </row>
    <row r="42" spans="2:13">
      <c r="B42" s="197"/>
      <c r="C42" s="175"/>
      <c r="D42" s="122"/>
      <c r="E42" s="124">
        <f t="shared" si="14"/>
        <v>6</v>
      </c>
      <c r="F42" s="123">
        <f t="shared" si="11"/>
        <v>0</v>
      </c>
      <c r="G42" s="170"/>
      <c r="H42" s="124">
        <f>K42</f>
        <v>6</v>
      </c>
      <c r="I42" s="123">
        <f t="shared" si="42"/>
        <v>0</v>
      </c>
      <c r="J42" s="178">
        <f t="shared" ref="J42:J46" si="43">IF(C42&lt;=0,J36-G42,J36+C42-G42)</f>
        <v>680</v>
      </c>
      <c r="K42" s="124">
        <f t="shared" ref="K42:K46" si="44">E42</f>
        <v>6</v>
      </c>
      <c r="L42" s="123">
        <f>J42*K42</f>
        <v>4080</v>
      </c>
      <c r="M42" s="200"/>
    </row>
    <row r="43" spans="2:13">
      <c r="B43" s="197"/>
      <c r="C43" s="175">
        <v>1320</v>
      </c>
      <c r="D43" s="122">
        <v>8.1</v>
      </c>
      <c r="E43" s="124">
        <f t="shared" si="14"/>
        <v>8.1</v>
      </c>
      <c r="F43" s="123">
        <f t="shared" ref="F43:F74" si="45">C43*E43</f>
        <v>10692</v>
      </c>
      <c r="G43" s="170"/>
      <c r="H43" s="124">
        <f t="shared" ref="H43:H46" si="46">K43</f>
        <v>8.1</v>
      </c>
      <c r="I43" s="123">
        <f t="shared" si="42"/>
        <v>0</v>
      </c>
      <c r="J43" s="178">
        <f t="shared" si="43"/>
        <v>1320</v>
      </c>
      <c r="K43" s="124">
        <f t="shared" si="44"/>
        <v>8.1</v>
      </c>
      <c r="L43" s="123">
        <f>J43*K43</f>
        <v>10692</v>
      </c>
      <c r="M43" s="200"/>
    </row>
    <row r="44" spans="2:13">
      <c r="B44" s="197"/>
      <c r="C44" s="175"/>
      <c r="D44" s="122"/>
      <c r="E44" s="124">
        <f t="shared" si="14"/>
        <v>0</v>
      </c>
      <c r="F44" s="123">
        <f t="shared" si="45"/>
        <v>0</v>
      </c>
      <c r="G44" s="170"/>
      <c r="H44" s="124">
        <f t="shared" si="46"/>
        <v>0</v>
      </c>
      <c r="I44" s="123">
        <f t="shared" si="42"/>
        <v>0</v>
      </c>
      <c r="J44" s="178">
        <f t="shared" si="43"/>
        <v>0</v>
      </c>
      <c r="K44" s="124">
        <f t="shared" si="44"/>
        <v>0</v>
      </c>
      <c r="L44" s="123">
        <f t="shared" ref="L44:L46" si="47">J44*K44</f>
        <v>0</v>
      </c>
      <c r="M44" s="200"/>
    </row>
    <row r="45" spans="2:13">
      <c r="B45" s="197"/>
      <c r="C45" s="175"/>
      <c r="D45" s="122"/>
      <c r="E45" s="124">
        <f t="shared" si="14"/>
        <v>0</v>
      </c>
      <c r="F45" s="123">
        <f t="shared" si="45"/>
        <v>0</v>
      </c>
      <c r="G45" s="170"/>
      <c r="H45" s="124">
        <f t="shared" si="46"/>
        <v>0</v>
      </c>
      <c r="I45" s="123">
        <f t="shared" si="42"/>
        <v>0</v>
      </c>
      <c r="J45" s="178">
        <f t="shared" si="43"/>
        <v>0</v>
      </c>
      <c r="K45" s="124">
        <f t="shared" si="44"/>
        <v>0</v>
      </c>
      <c r="L45" s="123">
        <f t="shared" si="47"/>
        <v>0</v>
      </c>
      <c r="M45" s="200"/>
    </row>
    <row r="46" spans="2:13">
      <c r="B46" s="198"/>
      <c r="C46" s="176"/>
      <c r="D46" s="117"/>
      <c r="E46" s="128">
        <f t="shared" si="14"/>
        <v>0</v>
      </c>
      <c r="F46" s="150">
        <f t="shared" si="45"/>
        <v>0</v>
      </c>
      <c r="G46" s="171"/>
      <c r="H46" s="128">
        <f t="shared" si="46"/>
        <v>0</v>
      </c>
      <c r="I46" s="150">
        <f>G46*H46</f>
        <v>0</v>
      </c>
      <c r="J46" s="179">
        <f t="shared" si="43"/>
        <v>0</v>
      </c>
      <c r="K46" s="128">
        <f t="shared" si="44"/>
        <v>0</v>
      </c>
      <c r="L46" s="150">
        <f t="shared" si="47"/>
        <v>0</v>
      </c>
      <c r="M46" s="201"/>
    </row>
    <row r="47" spans="2:13">
      <c r="B47" s="196">
        <v>40983</v>
      </c>
      <c r="C47" s="172"/>
      <c r="D47" s="116"/>
      <c r="E47" s="127">
        <f t="shared" si="14"/>
        <v>5</v>
      </c>
      <c r="F47" s="149">
        <f t="shared" si="45"/>
        <v>0</v>
      </c>
      <c r="G47" s="166"/>
      <c r="H47" s="127">
        <f>K47</f>
        <v>5</v>
      </c>
      <c r="I47" s="149">
        <f t="shared" ref="I47:I51" si="48">G47*H47</f>
        <v>0</v>
      </c>
      <c r="J47" s="168">
        <f>IF(C47&lt;=0,J41-G47,J41+C47-G47)</f>
        <v>0</v>
      </c>
      <c r="K47" s="127">
        <f>E47</f>
        <v>5</v>
      </c>
      <c r="L47" s="149">
        <f>J47*K47</f>
        <v>0</v>
      </c>
      <c r="M47" s="199">
        <f>SUM(L47:L52)</f>
        <v>11172</v>
      </c>
    </row>
    <row r="48" spans="2:13">
      <c r="B48" s="197"/>
      <c r="C48" s="175"/>
      <c r="D48" s="122"/>
      <c r="E48" s="124">
        <f t="shared" si="14"/>
        <v>6</v>
      </c>
      <c r="F48" s="123">
        <f t="shared" si="45"/>
        <v>0</v>
      </c>
      <c r="G48" s="170">
        <v>600</v>
      </c>
      <c r="H48" s="124">
        <f>K48</f>
        <v>6</v>
      </c>
      <c r="I48" s="123">
        <f t="shared" si="48"/>
        <v>3600</v>
      </c>
      <c r="J48" s="178">
        <f t="shared" ref="J48:J52" si="49">IF(C48&lt;=0,J42-G48,J42+C48-G48)</f>
        <v>80</v>
      </c>
      <c r="K48" s="124">
        <f t="shared" ref="K48:K52" si="50">E48</f>
        <v>6</v>
      </c>
      <c r="L48" s="123">
        <f>J48*K48</f>
        <v>480</v>
      </c>
      <c r="M48" s="200"/>
    </row>
    <row r="49" spans="2:13">
      <c r="B49" s="197"/>
      <c r="C49" s="175"/>
      <c r="D49" s="122"/>
      <c r="E49" s="124">
        <f t="shared" si="14"/>
        <v>8.1</v>
      </c>
      <c r="F49" s="123">
        <f t="shared" si="45"/>
        <v>0</v>
      </c>
      <c r="G49" s="170"/>
      <c r="H49" s="124">
        <f t="shared" ref="H49:H52" si="51">K49</f>
        <v>8.1</v>
      </c>
      <c r="I49" s="123">
        <f t="shared" si="48"/>
        <v>0</v>
      </c>
      <c r="J49" s="178">
        <f t="shared" si="49"/>
        <v>1320</v>
      </c>
      <c r="K49" s="124">
        <f t="shared" si="50"/>
        <v>8.1</v>
      </c>
      <c r="L49" s="123">
        <f>J49*K49</f>
        <v>10692</v>
      </c>
      <c r="M49" s="200"/>
    </row>
    <row r="50" spans="2:13">
      <c r="B50" s="197"/>
      <c r="C50" s="175"/>
      <c r="D50" s="122"/>
      <c r="E50" s="124">
        <f t="shared" si="14"/>
        <v>0</v>
      </c>
      <c r="F50" s="123">
        <f t="shared" si="45"/>
        <v>0</v>
      </c>
      <c r="G50" s="170"/>
      <c r="H50" s="124">
        <f t="shared" si="51"/>
        <v>0</v>
      </c>
      <c r="I50" s="123">
        <f t="shared" si="48"/>
        <v>0</v>
      </c>
      <c r="J50" s="178">
        <f t="shared" si="49"/>
        <v>0</v>
      </c>
      <c r="K50" s="124">
        <f t="shared" si="50"/>
        <v>0</v>
      </c>
      <c r="L50" s="123">
        <f t="shared" ref="L50:L52" si="52">J50*K50</f>
        <v>0</v>
      </c>
      <c r="M50" s="200"/>
    </row>
    <row r="51" spans="2:13">
      <c r="B51" s="197"/>
      <c r="C51" s="175"/>
      <c r="D51" s="122"/>
      <c r="E51" s="124">
        <f t="shared" si="14"/>
        <v>0</v>
      </c>
      <c r="F51" s="123">
        <f t="shared" si="45"/>
        <v>0</v>
      </c>
      <c r="G51" s="170"/>
      <c r="H51" s="124">
        <f t="shared" si="51"/>
        <v>0</v>
      </c>
      <c r="I51" s="123">
        <f t="shared" si="48"/>
        <v>0</v>
      </c>
      <c r="J51" s="178">
        <f t="shared" si="49"/>
        <v>0</v>
      </c>
      <c r="K51" s="124">
        <f t="shared" si="50"/>
        <v>0</v>
      </c>
      <c r="L51" s="123">
        <f t="shared" si="52"/>
        <v>0</v>
      </c>
      <c r="M51" s="200"/>
    </row>
    <row r="52" spans="2:13">
      <c r="B52" s="198"/>
      <c r="C52" s="176"/>
      <c r="D52" s="117"/>
      <c r="E52" s="128">
        <f t="shared" si="14"/>
        <v>0</v>
      </c>
      <c r="F52" s="150">
        <f t="shared" si="45"/>
        <v>0</v>
      </c>
      <c r="G52" s="171"/>
      <c r="H52" s="128">
        <f t="shared" si="51"/>
        <v>0</v>
      </c>
      <c r="I52" s="150">
        <f>G52*H52</f>
        <v>0</v>
      </c>
      <c r="J52" s="179">
        <f t="shared" si="49"/>
        <v>0</v>
      </c>
      <c r="K52" s="128">
        <f t="shared" si="50"/>
        <v>0</v>
      </c>
      <c r="L52" s="150">
        <f t="shared" si="52"/>
        <v>0</v>
      </c>
      <c r="M52" s="201"/>
    </row>
    <row r="53" spans="2:13">
      <c r="B53" s="196">
        <v>40999</v>
      </c>
      <c r="C53" s="172"/>
      <c r="D53" s="116"/>
      <c r="E53" s="127">
        <f t="shared" si="14"/>
        <v>5</v>
      </c>
      <c r="F53" s="149">
        <f t="shared" si="45"/>
        <v>0</v>
      </c>
      <c r="G53" s="166"/>
      <c r="H53" s="127">
        <f>K53</f>
        <v>5</v>
      </c>
      <c r="I53" s="149">
        <f t="shared" ref="I53:I57" si="53">G53*H53</f>
        <v>0</v>
      </c>
      <c r="J53" s="168">
        <f>IF(C53&lt;=0,J47-G53,J47+C53-G53)</f>
        <v>0</v>
      </c>
      <c r="K53" s="127">
        <f>E53</f>
        <v>5</v>
      </c>
      <c r="L53" s="149">
        <f>J53*K53</f>
        <v>0</v>
      </c>
      <c r="M53" s="199">
        <f>SUM(L53:L58)</f>
        <v>4860</v>
      </c>
    </row>
    <row r="54" spans="2:13">
      <c r="B54" s="197"/>
      <c r="C54" s="175"/>
      <c r="D54" s="122"/>
      <c r="E54" s="124">
        <f t="shared" si="14"/>
        <v>6</v>
      </c>
      <c r="F54" s="123">
        <f t="shared" si="45"/>
        <v>0</v>
      </c>
      <c r="G54" s="170">
        <f>J48</f>
        <v>80</v>
      </c>
      <c r="H54" s="124">
        <f>K54</f>
        <v>6</v>
      </c>
      <c r="I54" s="123">
        <f t="shared" si="53"/>
        <v>480</v>
      </c>
      <c r="J54" s="178">
        <f t="shared" ref="J54:J58" si="54">IF(C54&lt;=0,J48-G54,J48+C54-G54)</f>
        <v>0</v>
      </c>
      <c r="K54" s="124">
        <f t="shared" ref="K54:K58" si="55">E54</f>
        <v>6</v>
      </c>
      <c r="L54" s="123">
        <f>J54*K54</f>
        <v>0</v>
      </c>
      <c r="M54" s="200"/>
    </row>
    <row r="55" spans="2:13">
      <c r="B55" s="197"/>
      <c r="C55" s="175"/>
      <c r="D55" s="122"/>
      <c r="E55" s="124">
        <f t="shared" si="14"/>
        <v>8.1</v>
      </c>
      <c r="F55" s="123">
        <f t="shared" si="45"/>
        <v>0</v>
      </c>
      <c r="G55" s="170">
        <f>800-G54</f>
        <v>720</v>
      </c>
      <c r="H55" s="124">
        <f t="shared" ref="H55:H58" si="56">K55</f>
        <v>8.1</v>
      </c>
      <c r="I55" s="123">
        <f t="shared" si="53"/>
        <v>5832</v>
      </c>
      <c r="J55" s="178">
        <f t="shared" si="54"/>
        <v>600</v>
      </c>
      <c r="K55" s="124">
        <f t="shared" si="55"/>
        <v>8.1</v>
      </c>
      <c r="L55" s="123">
        <f>J55*K55</f>
        <v>4860</v>
      </c>
      <c r="M55" s="200"/>
    </row>
    <row r="56" spans="2:13">
      <c r="B56" s="197"/>
      <c r="C56" s="175"/>
      <c r="D56" s="122"/>
      <c r="E56" s="124">
        <f t="shared" si="14"/>
        <v>0</v>
      </c>
      <c r="F56" s="123">
        <f t="shared" si="45"/>
        <v>0</v>
      </c>
      <c r="G56" s="170"/>
      <c r="H56" s="124">
        <f t="shared" si="56"/>
        <v>0</v>
      </c>
      <c r="I56" s="123">
        <f t="shared" si="53"/>
        <v>0</v>
      </c>
      <c r="J56" s="178">
        <f t="shared" si="54"/>
        <v>0</v>
      </c>
      <c r="K56" s="124">
        <f t="shared" si="55"/>
        <v>0</v>
      </c>
      <c r="L56" s="123">
        <f t="shared" ref="L56:L58" si="57">J56*K56</f>
        <v>0</v>
      </c>
      <c r="M56" s="200"/>
    </row>
    <row r="57" spans="2:13">
      <c r="B57" s="197"/>
      <c r="C57" s="175"/>
      <c r="D57" s="122"/>
      <c r="E57" s="124">
        <f t="shared" si="14"/>
        <v>0</v>
      </c>
      <c r="F57" s="123">
        <f t="shared" si="45"/>
        <v>0</v>
      </c>
      <c r="G57" s="170"/>
      <c r="H57" s="124">
        <f t="shared" si="56"/>
        <v>0</v>
      </c>
      <c r="I57" s="123">
        <f t="shared" si="53"/>
        <v>0</v>
      </c>
      <c r="J57" s="178">
        <f t="shared" si="54"/>
        <v>0</v>
      </c>
      <c r="K57" s="124">
        <f t="shared" si="55"/>
        <v>0</v>
      </c>
      <c r="L57" s="123">
        <f t="shared" si="57"/>
        <v>0</v>
      </c>
      <c r="M57" s="200"/>
    </row>
    <row r="58" spans="2:13">
      <c r="B58" s="198"/>
      <c r="C58" s="176"/>
      <c r="D58" s="117"/>
      <c r="E58" s="128">
        <f t="shared" si="14"/>
        <v>0</v>
      </c>
      <c r="F58" s="150">
        <f t="shared" si="45"/>
        <v>0</v>
      </c>
      <c r="G58" s="171"/>
      <c r="H58" s="128">
        <f t="shared" si="56"/>
        <v>0</v>
      </c>
      <c r="I58" s="150">
        <f>G58*H58</f>
        <v>0</v>
      </c>
      <c r="J58" s="179">
        <f t="shared" si="54"/>
        <v>0</v>
      </c>
      <c r="K58" s="128">
        <f t="shared" si="55"/>
        <v>0</v>
      </c>
      <c r="L58" s="150">
        <f t="shared" si="57"/>
        <v>0</v>
      </c>
      <c r="M58" s="201"/>
    </row>
    <row r="59" spans="2:13">
      <c r="B59" s="196">
        <v>41000</v>
      </c>
      <c r="C59" s="172"/>
      <c r="D59" s="116"/>
      <c r="E59" s="127">
        <f t="shared" si="14"/>
        <v>5</v>
      </c>
      <c r="F59" s="149">
        <f t="shared" si="45"/>
        <v>0</v>
      </c>
      <c r="G59" s="166"/>
      <c r="H59" s="127">
        <f>K59</f>
        <v>5</v>
      </c>
      <c r="I59" s="149">
        <f t="shared" ref="I59:I63" si="58">G59*H59</f>
        <v>0</v>
      </c>
      <c r="J59" s="168">
        <f>IF(C59&lt;=0,J53-G59,J53+C59-G59)</f>
        <v>0</v>
      </c>
      <c r="K59" s="127">
        <f>E59</f>
        <v>5</v>
      </c>
      <c r="L59" s="149">
        <f>J59*K59</f>
        <v>0</v>
      </c>
      <c r="M59" s="199">
        <f>SUM(L59:L64)</f>
        <v>14730</v>
      </c>
    </row>
    <row r="60" spans="2:13">
      <c r="B60" s="197"/>
      <c r="C60" s="175"/>
      <c r="D60" s="122"/>
      <c r="E60" s="124">
        <f t="shared" si="14"/>
        <v>6</v>
      </c>
      <c r="F60" s="123">
        <f t="shared" si="45"/>
        <v>0</v>
      </c>
      <c r="G60" s="170"/>
      <c r="H60" s="124">
        <f>K60</f>
        <v>6</v>
      </c>
      <c r="I60" s="123">
        <f t="shared" si="58"/>
        <v>0</v>
      </c>
      <c r="J60" s="178">
        <f t="shared" ref="J60:J64" si="59">IF(C60&lt;=0,J54-G60,J54+C60-G60)</f>
        <v>0</v>
      </c>
      <c r="K60" s="124">
        <f t="shared" ref="K60:K64" si="60">E60</f>
        <v>6</v>
      </c>
      <c r="L60" s="123">
        <f>J60*K60</f>
        <v>0</v>
      </c>
      <c r="M60" s="200"/>
    </row>
    <row r="61" spans="2:13">
      <c r="B61" s="197"/>
      <c r="C61" s="175"/>
      <c r="D61" s="122"/>
      <c r="E61" s="124">
        <f t="shared" si="14"/>
        <v>8.1</v>
      </c>
      <c r="F61" s="123">
        <f t="shared" si="45"/>
        <v>0</v>
      </c>
      <c r="G61" s="170"/>
      <c r="H61" s="124">
        <f t="shared" ref="H61:H64" si="61">K61</f>
        <v>8.1</v>
      </c>
      <c r="I61" s="123">
        <f t="shared" si="58"/>
        <v>0</v>
      </c>
      <c r="J61" s="178">
        <f t="shared" si="59"/>
        <v>600</v>
      </c>
      <c r="K61" s="124">
        <f t="shared" si="60"/>
        <v>8.1</v>
      </c>
      <c r="L61" s="123">
        <f>J61*K61</f>
        <v>4860</v>
      </c>
      <c r="M61" s="200"/>
    </row>
    <row r="62" spans="2:13">
      <c r="B62" s="197"/>
      <c r="C62" s="175">
        <v>1400</v>
      </c>
      <c r="D62" s="122">
        <v>7.05</v>
      </c>
      <c r="E62" s="124">
        <f t="shared" si="14"/>
        <v>7.05</v>
      </c>
      <c r="F62" s="123">
        <f t="shared" si="45"/>
        <v>9870</v>
      </c>
      <c r="G62" s="170"/>
      <c r="H62" s="124">
        <f t="shared" si="61"/>
        <v>7.05</v>
      </c>
      <c r="I62" s="123">
        <f t="shared" si="58"/>
        <v>0</v>
      </c>
      <c r="J62" s="178">
        <f t="shared" si="59"/>
        <v>1400</v>
      </c>
      <c r="K62" s="124">
        <f t="shared" si="60"/>
        <v>7.05</v>
      </c>
      <c r="L62" s="123">
        <f t="shared" ref="L62:L64" si="62">J62*K62</f>
        <v>9870</v>
      </c>
      <c r="M62" s="200"/>
    </row>
    <row r="63" spans="2:13">
      <c r="B63" s="197"/>
      <c r="C63" s="175"/>
      <c r="D63" s="122"/>
      <c r="E63" s="124">
        <f t="shared" si="14"/>
        <v>0</v>
      </c>
      <c r="F63" s="123">
        <f t="shared" si="45"/>
        <v>0</v>
      </c>
      <c r="G63" s="170"/>
      <c r="H63" s="124">
        <f t="shared" si="61"/>
        <v>0</v>
      </c>
      <c r="I63" s="123">
        <f t="shared" si="58"/>
        <v>0</v>
      </c>
      <c r="J63" s="178">
        <f t="shared" si="59"/>
        <v>0</v>
      </c>
      <c r="K63" s="124">
        <f t="shared" si="60"/>
        <v>0</v>
      </c>
      <c r="L63" s="123">
        <f t="shared" si="62"/>
        <v>0</v>
      </c>
      <c r="M63" s="200"/>
    </row>
    <row r="64" spans="2:13">
      <c r="B64" s="198"/>
      <c r="C64" s="176"/>
      <c r="D64" s="117"/>
      <c r="E64" s="128">
        <f t="shared" si="14"/>
        <v>0</v>
      </c>
      <c r="F64" s="150">
        <f t="shared" si="45"/>
        <v>0</v>
      </c>
      <c r="G64" s="171"/>
      <c r="H64" s="128">
        <f t="shared" si="61"/>
        <v>0</v>
      </c>
      <c r="I64" s="150">
        <f>G64*H64</f>
        <v>0</v>
      </c>
      <c r="J64" s="179">
        <f t="shared" si="59"/>
        <v>0</v>
      </c>
      <c r="K64" s="128">
        <f t="shared" si="60"/>
        <v>0</v>
      </c>
      <c r="L64" s="150">
        <f t="shared" si="62"/>
        <v>0</v>
      </c>
      <c r="M64" s="201"/>
    </row>
    <row r="65" spans="1:13">
      <c r="B65" s="196">
        <v>41014</v>
      </c>
      <c r="C65" s="172"/>
      <c r="D65" s="116"/>
      <c r="E65" s="127">
        <f t="shared" si="14"/>
        <v>5</v>
      </c>
      <c r="F65" s="149">
        <f t="shared" si="45"/>
        <v>0</v>
      </c>
      <c r="G65" s="166"/>
      <c r="H65" s="127">
        <f>K65</f>
        <v>5</v>
      </c>
      <c r="I65" s="149">
        <f t="shared" ref="I65:I69" si="63">G65*H65</f>
        <v>0</v>
      </c>
      <c r="J65" s="168">
        <f>IF(C65&lt;=0,J59-G65,J59+C65-G65)</f>
        <v>0</v>
      </c>
      <c r="K65" s="127">
        <f>E65</f>
        <v>5</v>
      </c>
      <c r="L65" s="149">
        <f>J65*K65</f>
        <v>0</v>
      </c>
      <c r="M65" s="199">
        <f>SUM(L65:L70)</f>
        <v>9165</v>
      </c>
    </row>
    <row r="66" spans="1:13">
      <c r="B66" s="197"/>
      <c r="C66" s="175"/>
      <c r="D66" s="122"/>
      <c r="E66" s="124">
        <f t="shared" si="14"/>
        <v>6</v>
      </c>
      <c r="F66" s="123">
        <f t="shared" si="45"/>
        <v>0</v>
      </c>
      <c r="G66" s="170"/>
      <c r="H66" s="124">
        <f>K66</f>
        <v>6</v>
      </c>
      <c r="I66" s="123">
        <f t="shared" si="63"/>
        <v>0</v>
      </c>
      <c r="J66" s="178">
        <f t="shared" ref="J66:J70" si="64">IF(C66&lt;=0,J60-G66,J60+C66-G66)</f>
        <v>0</v>
      </c>
      <c r="K66" s="124">
        <f t="shared" ref="K66:K70" si="65">E66</f>
        <v>6</v>
      </c>
      <c r="L66" s="123">
        <f>J66*K66</f>
        <v>0</v>
      </c>
      <c r="M66" s="200"/>
    </row>
    <row r="67" spans="1:13" s="152" customFormat="1">
      <c r="A67" s="151"/>
      <c r="B67" s="197"/>
      <c r="C67" s="175"/>
      <c r="D67" s="122"/>
      <c r="E67" s="124">
        <f t="shared" si="14"/>
        <v>8.1</v>
      </c>
      <c r="F67" s="123">
        <f t="shared" si="45"/>
        <v>0</v>
      </c>
      <c r="G67" s="170">
        <f>J61</f>
        <v>600</v>
      </c>
      <c r="H67" s="124">
        <f t="shared" ref="H67:H70" si="66">K67</f>
        <v>8.1</v>
      </c>
      <c r="I67" s="123">
        <f t="shared" si="63"/>
        <v>4860</v>
      </c>
      <c r="J67" s="178">
        <f t="shared" si="64"/>
        <v>0</v>
      </c>
      <c r="K67" s="124">
        <f t="shared" si="65"/>
        <v>8.1</v>
      </c>
      <c r="L67" s="123">
        <f>J67*K67</f>
        <v>0</v>
      </c>
      <c r="M67" s="200"/>
    </row>
    <row r="68" spans="1:13">
      <c r="B68" s="197"/>
      <c r="C68" s="175"/>
      <c r="D68" s="122"/>
      <c r="E68" s="124">
        <f t="shared" si="14"/>
        <v>7.05</v>
      </c>
      <c r="F68" s="123">
        <f t="shared" si="45"/>
        <v>0</v>
      </c>
      <c r="G68" s="170">
        <f>700-G67</f>
        <v>100</v>
      </c>
      <c r="H68" s="124">
        <f t="shared" si="66"/>
        <v>7.05</v>
      </c>
      <c r="I68" s="123">
        <f t="shared" si="63"/>
        <v>705</v>
      </c>
      <c r="J68" s="178">
        <f t="shared" si="64"/>
        <v>1300</v>
      </c>
      <c r="K68" s="124">
        <f t="shared" si="65"/>
        <v>7.05</v>
      </c>
      <c r="L68" s="123">
        <f t="shared" ref="L68:L70" si="67">J68*K68</f>
        <v>9165</v>
      </c>
      <c r="M68" s="200"/>
    </row>
    <row r="69" spans="1:13">
      <c r="B69" s="197"/>
      <c r="C69" s="175"/>
      <c r="D69" s="122"/>
      <c r="E69" s="124">
        <f t="shared" si="14"/>
        <v>0</v>
      </c>
      <c r="F69" s="123">
        <f t="shared" si="45"/>
        <v>0</v>
      </c>
      <c r="G69" s="170"/>
      <c r="H69" s="124">
        <f t="shared" si="66"/>
        <v>0</v>
      </c>
      <c r="I69" s="123">
        <f t="shared" si="63"/>
        <v>0</v>
      </c>
      <c r="J69" s="178">
        <f t="shared" si="64"/>
        <v>0</v>
      </c>
      <c r="K69" s="124">
        <f t="shared" si="65"/>
        <v>0</v>
      </c>
      <c r="L69" s="123">
        <f t="shared" si="67"/>
        <v>0</v>
      </c>
      <c r="M69" s="200"/>
    </row>
    <row r="70" spans="1:13">
      <c r="B70" s="198"/>
      <c r="C70" s="176"/>
      <c r="D70" s="117"/>
      <c r="E70" s="128">
        <f t="shared" si="14"/>
        <v>0</v>
      </c>
      <c r="F70" s="150">
        <f t="shared" si="45"/>
        <v>0</v>
      </c>
      <c r="G70" s="171"/>
      <c r="H70" s="128">
        <f t="shared" si="66"/>
        <v>0</v>
      </c>
      <c r="I70" s="150">
        <f>G70*H70</f>
        <v>0</v>
      </c>
      <c r="J70" s="179">
        <f t="shared" si="64"/>
        <v>0</v>
      </c>
      <c r="K70" s="128">
        <f t="shared" si="65"/>
        <v>0</v>
      </c>
      <c r="L70" s="150">
        <f t="shared" si="67"/>
        <v>0</v>
      </c>
      <c r="M70" s="201"/>
    </row>
    <row r="71" spans="1:13">
      <c r="B71" s="196">
        <v>41029</v>
      </c>
      <c r="C71" s="172"/>
      <c r="D71" s="116"/>
      <c r="E71" s="127">
        <f t="shared" si="14"/>
        <v>5</v>
      </c>
      <c r="F71" s="149">
        <f t="shared" si="45"/>
        <v>0</v>
      </c>
      <c r="G71" s="166"/>
      <c r="H71" s="127">
        <f>K71</f>
        <v>5</v>
      </c>
      <c r="I71" s="149">
        <f t="shared" ref="I71:I75" si="68">G71*H71</f>
        <v>0</v>
      </c>
      <c r="J71" s="168">
        <f>IF(C71&lt;=0,J65-G71,J65+C71-G71)</f>
        <v>0</v>
      </c>
      <c r="K71" s="127">
        <f>E71</f>
        <v>5</v>
      </c>
      <c r="L71" s="149">
        <f>J71*K71</f>
        <v>0</v>
      </c>
      <c r="M71" s="199">
        <f>SUM(L71:L76)</f>
        <v>4230</v>
      </c>
    </row>
    <row r="72" spans="1:13">
      <c r="B72" s="197"/>
      <c r="C72" s="173"/>
      <c r="D72" s="122"/>
      <c r="E72" s="124">
        <f t="shared" si="14"/>
        <v>6</v>
      </c>
      <c r="F72" s="123">
        <f t="shared" si="45"/>
        <v>0</v>
      </c>
      <c r="G72" s="170"/>
      <c r="H72" s="124">
        <f>K72</f>
        <v>6</v>
      </c>
      <c r="I72" s="123">
        <f t="shared" si="68"/>
        <v>0</v>
      </c>
      <c r="J72" s="178">
        <f t="shared" ref="J72:J76" si="69">IF(C72&lt;=0,J66-G72,J66+C72-G72)</f>
        <v>0</v>
      </c>
      <c r="K72" s="124">
        <f t="shared" ref="K72:K76" si="70">E72</f>
        <v>6</v>
      </c>
      <c r="L72" s="123">
        <f>J72*K72</f>
        <v>0</v>
      </c>
      <c r="M72" s="200"/>
    </row>
    <row r="73" spans="1:13">
      <c r="B73" s="197"/>
      <c r="C73" s="173"/>
      <c r="D73" s="122"/>
      <c r="E73" s="124">
        <f t="shared" si="14"/>
        <v>8.1</v>
      </c>
      <c r="F73" s="123">
        <f t="shared" si="45"/>
        <v>0</v>
      </c>
      <c r="G73" s="170"/>
      <c r="H73" s="124">
        <f t="shared" ref="H73:H76" si="71">K73</f>
        <v>8.1</v>
      </c>
      <c r="I73" s="123">
        <f t="shared" si="68"/>
        <v>0</v>
      </c>
      <c r="J73" s="178">
        <f t="shared" si="69"/>
        <v>0</v>
      </c>
      <c r="K73" s="124">
        <f t="shared" si="70"/>
        <v>8.1</v>
      </c>
      <c r="L73" s="123">
        <f>J73*K73</f>
        <v>0</v>
      </c>
      <c r="M73" s="200"/>
    </row>
    <row r="74" spans="1:13">
      <c r="B74" s="197"/>
      <c r="C74" s="173"/>
      <c r="D74" s="122"/>
      <c r="E74" s="124">
        <f t="shared" si="14"/>
        <v>7.05</v>
      </c>
      <c r="F74" s="123">
        <f t="shared" si="45"/>
        <v>0</v>
      </c>
      <c r="G74" s="170">
        <v>700</v>
      </c>
      <c r="H74" s="124">
        <f t="shared" si="71"/>
        <v>7.05</v>
      </c>
      <c r="I74" s="123">
        <f t="shared" si="68"/>
        <v>4935</v>
      </c>
      <c r="J74" s="178">
        <f t="shared" si="69"/>
        <v>600</v>
      </c>
      <c r="K74" s="124">
        <f t="shared" si="70"/>
        <v>7.05</v>
      </c>
      <c r="L74" s="123">
        <f t="shared" ref="L74:L76" si="72">J74*K74</f>
        <v>4230</v>
      </c>
      <c r="M74" s="200"/>
    </row>
    <row r="75" spans="1:13">
      <c r="B75" s="197"/>
      <c r="C75" s="173"/>
      <c r="D75" s="122"/>
      <c r="E75" s="124">
        <f t="shared" si="14"/>
        <v>0</v>
      </c>
      <c r="F75" s="123">
        <f t="shared" ref="F75:F76" si="73">C75*E75</f>
        <v>0</v>
      </c>
      <c r="G75" s="170"/>
      <c r="H75" s="124">
        <f t="shared" si="71"/>
        <v>0</v>
      </c>
      <c r="I75" s="123">
        <f t="shared" si="68"/>
        <v>0</v>
      </c>
      <c r="J75" s="178">
        <f t="shared" si="69"/>
        <v>0</v>
      </c>
      <c r="K75" s="124">
        <f t="shared" si="70"/>
        <v>0</v>
      </c>
      <c r="L75" s="123">
        <f t="shared" si="72"/>
        <v>0</v>
      </c>
      <c r="M75" s="200"/>
    </row>
    <row r="76" spans="1:13">
      <c r="B76" s="198"/>
      <c r="C76" s="174"/>
      <c r="D76" s="117"/>
      <c r="E76" s="128">
        <f t="shared" ref="E76" si="74">IF(D76=0,K70,D76)</f>
        <v>0</v>
      </c>
      <c r="F76" s="150">
        <f t="shared" si="73"/>
        <v>0</v>
      </c>
      <c r="G76" s="171"/>
      <c r="H76" s="128">
        <f t="shared" si="71"/>
        <v>0</v>
      </c>
      <c r="I76" s="150">
        <f>G76*H76</f>
        <v>0</v>
      </c>
      <c r="J76" s="179">
        <f t="shared" si="69"/>
        <v>0</v>
      </c>
      <c r="K76" s="128">
        <f t="shared" si="70"/>
        <v>0</v>
      </c>
      <c r="L76" s="150">
        <f t="shared" si="72"/>
        <v>0</v>
      </c>
      <c r="M76" s="201"/>
    </row>
  </sheetData>
  <mergeCells count="30">
    <mergeCell ref="B5:B10"/>
    <mergeCell ref="B11:B16"/>
    <mergeCell ref="P4:R4"/>
    <mergeCell ref="S4:U4"/>
    <mergeCell ref="V4:X4"/>
    <mergeCell ref="C4:F4"/>
    <mergeCell ref="M11:M16"/>
    <mergeCell ref="M5:M10"/>
    <mergeCell ref="M17:M22"/>
    <mergeCell ref="M23:M28"/>
    <mergeCell ref="G4:I4"/>
    <mergeCell ref="J4:L4"/>
    <mergeCell ref="M35:M40"/>
    <mergeCell ref="M41:M46"/>
    <mergeCell ref="M47:M52"/>
    <mergeCell ref="M29:M34"/>
    <mergeCell ref="B29:B34"/>
    <mergeCell ref="B53:B58"/>
    <mergeCell ref="M53:M58"/>
    <mergeCell ref="B59:B64"/>
    <mergeCell ref="B65:B70"/>
    <mergeCell ref="M65:M70"/>
    <mergeCell ref="B71:B76"/>
    <mergeCell ref="M71:M76"/>
    <mergeCell ref="M59:M64"/>
    <mergeCell ref="B17:B22"/>
    <mergeCell ref="B23:B28"/>
    <mergeCell ref="B35:B40"/>
    <mergeCell ref="B41:B46"/>
    <mergeCell ref="B47:B52"/>
  </mergeCells>
  <conditionalFormatting sqref="G11:G40">
    <cfRule type="expression" dxfId="14" priority="40">
      <formula>J5=0</formula>
    </cfRule>
  </conditionalFormatting>
  <conditionalFormatting sqref="G41:G46">
    <cfRule type="expression" dxfId="13" priority="37">
      <formula>J35=0</formula>
    </cfRule>
  </conditionalFormatting>
  <conditionalFormatting sqref="G47:G52">
    <cfRule type="expression" dxfId="12" priority="34">
      <formula>J41=0</formula>
    </cfRule>
  </conditionalFormatting>
  <conditionalFormatting sqref="C11:D76">
    <cfRule type="expression" dxfId="11" priority="33">
      <formula>$K5&lt;&gt;0</formula>
    </cfRule>
  </conditionalFormatting>
  <conditionalFormatting sqref="G11:G52">
    <cfRule type="expression" dxfId="10" priority="19">
      <formula>J11&lt;0</formula>
    </cfRule>
  </conditionalFormatting>
  <conditionalFormatting sqref="G53:G58">
    <cfRule type="expression" dxfId="9" priority="18">
      <formula>J47=0</formula>
    </cfRule>
  </conditionalFormatting>
  <conditionalFormatting sqref="G53:G58">
    <cfRule type="expression" dxfId="8" priority="16">
      <formula>J53&lt;0</formula>
    </cfRule>
  </conditionalFormatting>
  <conditionalFormatting sqref="G59:G64">
    <cfRule type="expression" dxfId="7" priority="15">
      <formula>J53=0</formula>
    </cfRule>
  </conditionalFormatting>
  <conditionalFormatting sqref="G59:G64">
    <cfRule type="expression" dxfId="6" priority="13">
      <formula>J59&lt;0</formula>
    </cfRule>
  </conditionalFormatting>
  <conditionalFormatting sqref="G65:G70">
    <cfRule type="expression" dxfId="5" priority="12">
      <formula>J59=0</formula>
    </cfRule>
  </conditionalFormatting>
  <conditionalFormatting sqref="G65:G70">
    <cfRule type="expression" dxfId="4" priority="10">
      <formula>J65&lt;0</formula>
    </cfRule>
  </conditionalFormatting>
  <conditionalFormatting sqref="G71:G76">
    <cfRule type="expression" dxfId="3" priority="9">
      <formula>J65=0</formula>
    </cfRule>
  </conditionalFormatting>
  <conditionalFormatting sqref="G71:G76">
    <cfRule type="expression" dxfId="2" priority="7">
      <formula>J71&lt;0</formula>
    </cfRule>
  </conditionalFormatting>
  <conditionalFormatting sqref="J5:J76">
    <cfRule type="expression" dxfId="1" priority="6">
      <formula>J5&lt;0</formula>
    </cfRule>
  </conditionalFormatting>
  <conditionalFormatting sqref="V5:V12 S5:S12">
    <cfRule type="expression" dxfId="0" priority="42">
      <formula>$V5&lt;0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J23"/>
  <sheetViews>
    <sheetView workbookViewId="0">
      <selection activeCell="H15" sqref="H15"/>
    </sheetView>
  </sheetViews>
  <sheetFormatPr baseColWidth="10" defaultRowHeight="15"/>
  <cols>
    <col min="2" max="2" width="32.85546875" customWidth="1"/>
    <col min="3" max="3" width="12.85546875" bestFit="1" customWidth="1"/>
    <col min="5" max="5" width="20.85546875" customWidth="1"/>
    <col min="6" max="6" width="12.85546875" bestFit="1" customWidth="1"/>
    <col min="8" max="8" width="19.140625" customWidth="1"/>
  </cols>
  <sheetData>
    <row r="2" spans="2:10">
      <c r="B2" s="60"/>
      <c r="C2" s="69"/>
      <c r="D2" s="70"/>
      <c r="E2" s="71" t="s">
        <v>20</v>
      </c>
      <c r="F2" s="69"/>
      <c r="G2" s="70"/>
      <c r="H2" s="71" t="s">
        <v>21</v>
      </c>
    </row>
    <row r="3" spans="2:10">
      <c r="B3" s="61" t="s">
        <v>22</v>
      </c>
      <c r="C3" s="208" t="s">
        <v>23</v>
      </c>
      <c r="D3" s="209"/>
      <c r="E3" s="183">
        <v>15000</v>
      </c>
      <c r="F3" s="208" t="s">
        <v>24</v>
      </c>
      <c r="G3" s="209"/>
      <c r="H3" s="183">
        <v>20000</v>
      </c>
    </row>
    <row r="4" spans="2:10">
      <c r="B4" s="62" t="s">
        <v>25</v>
      </c>
      <c r="C4" s="181">
        <v>650</v>
      </c>
      <c r="D4" s="16">
        <v>50</v>
      </c>
      <c r="E4" s="17">
        <f>C4*D4</f>
        <v>32500</v>
      </c>
      <c r="F4" s="181">
        <v>400</v>
      </c>
      <c r="G4" s="16">
        <v>50</v>
      </c>
      <c r="H4" s="17">
        <f>F4*G4</f>
        <v>20000</v>
      </c>
    </row>
    <row r="5" spans="2:10">
      <c r="B5" s="63" t="s">
        <v>26</v>
      </c>
      <c r="C5" s="182">
        <v>4000</v>
      </c>
      <c r="D5" s="18">
        <v>40</v>
      </c>
      <c r="E5" s="19">
        <f>C5*D5</f>
        <v>160000</v>
      </c>
      <c r="F5" s="182">
        <v>2000</v>
      </c>
      <c r="G5" s="18">
        <v>50</v>
      </c>
      <c r="H5" s="19">
        <f t="shared" ref="H5:H7" si="0">F5*G5</f>
        <v>100000</v>
      </c>
    </row>
    <row r="6" spans="2:10" ht="15.75">
      <c r="B6" s="64" t="s">
        <v>27</v>
      </c>
      <c r="C6" s="20">
        <v>180000</v>
      </c>
      <c r="D6" s="72">
        <f>C5/(C5+F5)</f>
        <v>0.66666666666666663</v>
      </c>
      <c r="E6" s="19">
        <f>C6*D6</f>
        <v>120000</v>
      </c>
      <c r="F6" s="20">
        <v>180000</v>
      </c>
      <c r="G6" s="73">
        <f>F5/(C5+F5)</f>
        <v>0.33333333333333331</v>
      </c>
      <c r="H6" s="19">
        <f t="shared" si="0"/>
        <v>60000</v>
      </c>
      <c r="J6" s="21" t="s">
        <v>28</v>
      </c>
    </row>
    <row r="7" spans="2:10" ht="15.75">
      <c r="B7" s="64" t="s">
        <v>29</v>
      </c>
      <c r="C7" s="20">
        <v>20000</v>
      </c>
      <c r="D7" s="72">
        <f>E3/(E3+H3)</f>
        <v>0.42857142857142855</v>
      </c>
      <c r="E7" s="19">
        <f>C7*D7</f>
        <v>8571.4285714285706</v>
      </c>
      <c r="F7" s="20">
        <v>20000</v>
      </c>
      <c r="G7" s="73">
        <f>H3/(E3+H3)</f>
        <v>0.5714285714285714</v>
      </c>
      <c r="H7" s="19">
        <f t="shared" si="0"/>
        <v>11428.571428571428</v>
      </c>
      <c r="J7" s="21" t="s">
        <v>30</v>
      </c>
    </row>
    <row r="8" spans="2:10">
      <c r="B8" s="63" t="s">
        <v>31</v>
      </c>
      <c r="C8" s="22"/>
      <c r="D8" s="23"/>
      <c r="E8" s="24">
        <f>SUM(E4:E7)</f>
        <v>321071.42857142858</v>
      </c>
      <c r="F8" s="92"/>
      <c r="G8" s="93"/>
      <c r="H8" s="24">
        <f>SUM(H4:H7)</f>
        <v>191428.57142857142</v>
      </c>
    </row>
    <row r="9" spans="2:10">
      <c r="B9" s="63" t="s">
        <v>32</v>
      </c>
      <c r="C9" s="22"/>
      <c r="D9" s="23"/>
      <c r="E9" s="25">
        <f>E8/E3</f>
        <v>21.404761904761905</v>
      </c>
      <c r="F9" s="92"/>
      <c r="G9" s="93"/>
      <c r="H9" s="25">
        <f>H8/H3</f>
        <v>9.5714285714285712</v>
      </c>
    </row>
    <row r="10" spans="2:10">
      <c r="B10" s="63" t="s">
        <v>33</v>
      </c>
      <c r="C10" s="22"/>
      <c r="D10" s="23"/>
      <c r="E10" s="26">
        <v>400000</v>
      </c>
      <c r="F10" s="92"/>
      <c r="G10" s="93"/>
      <c r="H10" s="26">
        <v>250000</v>
      </c>
    </row>
    <row r="11" spans="2:10">
      <c r="B11" s="65" t="s">
        <v>34</v>
      </c>
      <c r="C11" s="27"/>
      <c r="D11" s="28"/>
      <c r="E11" s="29">
        <f>E10-E8</f>
        <v>78928.57142857142</v>
      </c>
      <c r="F11" s="94"/>
      <c r="G11" s="95"/>
      <c r="H11" s="29">
        <f>H10-H8</f>
        <v>58571.42857142858</v>
      </c>
    </row>
    <row r="12" spans="2:10">
      <c r="C12" s="30"/>
      <c r="D12" s="30"/>
      <c r="E12" s="30"/>
      <c r="F12" s="30"/>
      <c r="G12" s="30"/>
      <c r="H12" s="30"/>
    </row>
    <row r="13" spans="2:10">
      <c r="B13" s="55" t="s">
        <v>35</v>
      </c>
      <c r="C13" s="30"/>
      <c r="D13" s="30"/>
      <c r="E13" s="210">
        <f>E11+H11</f>
        <v>137500</v>
      </c>
      <c r="F13" s="210"/>
      <c r="G13" s="30"/>
      <c r="H13" s="30"/>
    </row>
    <row r="14" spans="2:10">
      <c r="C14" s="30"/>
      <c r="D14" s="30"/>
      <c r="E14" s="30"/>
      <c r="F14" s="30"/>
      <c r="G14" s="30"/>
      <c r="H14" s="30"/>
    </row>
    <row r="15" spans="2:10">
      <c r="B15" s="205" t="s">
        <v>36</v>
      </c>
      <c r="C15" s="206"/>
      <c r="D15" s="206"/>
      <c r="E15" s="206"/>
      <c r="F15" s="207"/>
    </row>
    <row r="16" spans="2:10">
      <c r="B16" s="66" t="s">
        <v>25</v>
      </c>
      <c r="C16" s="32">
        <f>E4+H4</f>
        <v>52500</v>
      </c>
      <c r="D16" s="3"/>
      <c r="E16" s="96" t="s">
        <v>37</v>
      </c>
      <c r="F16" s="36">
        <v>650000</v>
      </c>
    </row>
    <row r="17" spans="2:6">
      <c r="B17" s="67" t="s">
        <v>38</v>
      </c>
      <c r="C17" s="33">
        <f>E5+H5</f>
        <v>260000</v>
      </c>
      <c r="D17" s="31"/>
      <c r="E17" s="9"/>
      <c r="F17" s="31"/>
    </row>
    <row r="18" spans="2:6">
      <c r="B18" s="67" t="s">
        <v>39</v>
      </c>
      <c r="C18" s="33">
        <f>E6+H6+E7+H7</f>
        <v>200000</v>
      </c>
      <c r="D18" s="31"/>
      <c r="E18" s="9"/>
      <c r="F18" s="31"/>
    </row>
    <row r="19" spans="2:6">
      <c r="B19" s="68" t="s">
        <v>40</v>
      </c>
      <c r="C19" s="32">
        <f>SUM(C16:C18)</f>
        <v>512500</v>
      </c>
      <c r="D19" s="31"/>
      <c r="E19" s="9"/>
      <c r="F19" s="31"/>
    </row>
    <row r="20" spans="2:6">
      <c r="B20" s="67" t="s">
        <v>41</v>
      </c>
      <c r="C20" s="34">
        <f>F16-C19</f>
        <v>137500</v>
      </c>
      <c r="D20" s="35"/>
      <c r="E20" s="4"/>
      <c r="F20" s="35"/>
    </row>
    <row r="23" spans="2:6">
      <c r="B23" t="s">
        <v>113</v>
      </c>
    </row>
  </sheetData>
  <mergeCells count="4">
    <mergeCell ref="B15:F15"/>
    <mergeCell ref="C3:D3"/>
    <mergeCell ref="F3:G3"/>
    <mergeCell ref="E13:F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J44"/>
  <sheetViews>
    <sheetView workbookViewId="0">
      <selection activeCell="G19" sqref="G19"/>
    </sheetView>
  </sheetViews>
  <sheetFormatPr baseColWidth="10" defaultRowHeight="15"/>
  <cols>
    <col min="1" max="1" width="12.85546875" bestFit="1" customWidth="1"/>
    <col min="2" max="2" width="20.140625" customWidth="1"/>
    <col min="3" max="4" width="11.85546875" bestFit="1" customWidth="1"/>
    <col min="5" max="7" width="12.85546875" bestFit="1" customWidth="1"/>
    <col min="8" max="8" width="14.28515625" bestFit="1" customWidth="1"/>
    <col min="9" max="9" width="15.28515625" bestFit="1" customWidth="1"/>
  </cols>
  <sheetData>
    <row r="2" spans="2:10">
      <c r="B2" s="101" t="s">
        <v>85</v>
      </c>
      <c r="C2" s="100"/>
      <c r="D2" s="100"/>
      <c r="E2" s="100"/>
      <c r="F2" s="102" t="s">
        <v>86</v>
      </c>
      <c r="G2" s="100"/>
      <c r="H2" s="100"/>
      <c r="I2" s="100"/>
      <c r="J2" s="100"/>
    </row>
    <row r="4" spans="2:10">
      <c r="B4" s="55" t="s">
        <v>124</v>
      </c>
      <c r="C4" s="213" t="s">
        <v>42</v>
      </c>
      <c r="D4" s="213"/>
      <c r="E4" s="213"/>
      <c r="F4" s="213" t="s">
        <v>43</v>
      </c>
      <c r="G4" s="213"/>
      <c r="H4" s="213"/>
    </row>
    <row r="5" spans="2:10">
      <c r="B5" s="54" t="s">
        <v>39</v>
      </c>
      <c r="C5" s="55" t="s">
        <v>145</v>
      </c>
      <c r="D5" s="55"/>
      <c r="E5" s="55"/>
      <c r="F5" s="55" t="s">
        <v>146</v>
      </c>
      <c r="G5" s="55" t="s">
        <v>147</v>
      </c>
      <c r="H5" s="55" t="s">
        <v>148</v>
      </c>
      <c r="I5" s="55" t="s">
        <v>149</v>
      </c>
    </row>
    <row r="6" spans="2:10">
      <c r="B6" s="46">
        <f>SUM(C6:I6)</f>
        <v>37580.600000000006</v>
      </c>
      <c r="C6" s="41">
        <v>14200</v>
      </c>
      <c r="D6" s="41">
        <v>0</v>
      </c>
      <c r="E6" s="41">
        <v>0</v>
      </c>
      <c r="F6" s="41">
        <v>4847.3999999999996</v>
      </c>
      <c r="G6" s="41">
        <v>3508.8</v>
      </c>
      <c r="H6" s="41">
        <v>4721.6000000000004</v>
      </c>
      <c r="I6" s="41">
        <v>10302.799999999999</v>
      </c>
    </row>
    <row r="7" spans="2:10">
      <c r="B7" s="37"/>
      <c r="C7" s="49">
        <f>-SUM(D7:I7)</f>
        <v>-1</v>
      </c>
      <c r="D7" s="136">
        <v>0</v>
      </c>
      <c r="E7" s="136">
        <v>0</v>
      </c>
      <c r="F7" s="136">
        <v>0.2</v>
      </c>
      <c r="G7" s="136">
        <v>0.3</v>
      </c>
      <c r="H7" s="136">
        <v>0.2</v>
      </c>
      <c r="I7" s="136">
        <v>0.3</v>
      </c>
    </row>
    <row r="8" spans="2:10">
      <c r="B8" s="38"/>
      <c r="C8" s="40">
        <f>$C6*C7</f>
        <v>-14200</v>
      </c>
      <c r="D8" s="40">
        <f t="shared" ref="D8:H8" si="0">$C6*D7</f>
        <v>0</v>
      </c>
      <c r="E8" s="40">
        <f t="shared" si="0"/>
        <v>0</v>
      </c>
      <c r="F8" s="40">
        <f t="shared" si="0"/>
        <v>2840</v>
      </c>
      <c r="G8" s="40">
        <f t="shared" si="0"/>
        <v>4260</v>
      </c>
      <c r="H8" s="40">
        <f t="shared" si="0"/>
        <v>2840</v>
      </c>
      <c r="I8" s="40">
        <f t="shared" ref="I8" si="1">$C6*I7</f>
        <v>4260</v>
      </c>
    </row>
    <row r="9" spans="2:10">
      <c r="B9" s="38"/>
      <c r="C9" s="43">
        <f>C6+C8</f>
        <v>0</v>
      </c>
      <c r="D9" s="40">
        <f>D6+D8</f>
        <v>0</v>
      </c>
      <c r="E9" s="40">
        <f t="shared" ref="E9:H9" si="2">E6+E8</f>
        <v>0</v>
      </c>
      <c r="F9" s="40">
        <f t="shared" si="2"/>
        <v>7687.4</v>
      </c>
      <c r="G9" s="40">
        <f t="shared" si="2"/>
        <v>7768.8</v>
      </c>
      <c r="H9" s="40">
        <f t="shared" si="2"/>
        <v>7561.6</v>
      </c>
      <c r="I9" s="40">
        <f t="shared" ref="I9" si="3">I6+I8</f>
        <v>14562.8</v>
      </c>
    </row>
    <row r="10" spans="2:10">
      <c r="B10" s="38"/>
      <c r="C10" s="45"/>
      <c r="D10" s="49">
        <f>-SUM(E10:I10)</f>
        <v>0</v>
      </c>
      <c r="E10" s="136">
        <v>0</v>
      </c>
      <c r="F10" s="136">
        <v>0</v>
      </c>
      <c r="G10" s="136">
        <v>0</v>
      </c>
      <c r="H10" s="136">
        <v>0</v>
      </c>
      <c r="I10" s="136">
        <v>0</v>
      </c>
    </row>
    <row r="11" spans="2:10">
      <c r="B11" s="38"/>
      <c r="C11" s="38"/>
      <c r="D11" s="40">
        <f t="shared" ref="D11:I11" si="4">$D9*D10</f>
        <v>0</v>
      </c>
      <c r="E11" s="40">
        <f t="shared" si="4"/>
        <v>0</v>
      </c>
      <c r="F11" s="40">
        <f t="shared" si="4"/>
        <v>0</v>
      </c>
      <c r="G11" s="40">
        <f t="shared" si="4"/>
        <v>0</v>
      </c>
      <c r="H11" s="40">
        <f t="shared" si="4"/>
        <v>0</v>
      </c>
      <c r="I11" s="40">
        <f t="shared" si="4"/>
        <v>0</v>
      </c>
    </row>
    <row r="12" spans="2:10">
      <c r="B12" s="38"/>
      <c r="C12" s="38"/>
      <c r="D12" s="40">
        <f t="shared" ref="D12:I12" si="5">D9+D11</f>
        <v>0</v>
      </c>
      <c r="E12" s="40">
        <f t="shared" si="5"/>
        <v>0</v>
      </c>
      <c r="F12" s="40">
        <f t="shared" si="5"/>
        <v>7687.4</v>
      </c>
      <c r="G12" s="40">
        <f t="shared" si="5"/>
        <v>7768.8</v>
      </c>
      <c r="H12" s="40">
        <f t="shared" si="5"/>
        <v>7561.6</v>
      </c>
      <c r="I12" s="40">
        <f t="shared" si="5"/>
        <v>14562.8</v>
      </c>
    </row>
    <row r="13" spans="2:10">
      <c r="B13" s="38"/>
      <c r="C13" s="38"/>
      <c r="D13" s="45"/>
      <c r="E13" s="49">
        <f>-SUM(F13:I13)</f>
        <v>0</v>
      </c>
      <c r="F13" s="136">
        <v>0</v>
      </c>
      <c r="G13" s="136">
        <v>0</v>
      </c>
      <c r="H13" s="136">
        <v>0</v>
      </c>
      <c r="I13" s="136">
        <v>0</v>
      </c>
    </row>
    <row r="14" spans="2:10">
      <c r="B14" s="38"/>
      <c r="C14" s="38"/>
      <c r="D14" s="39"/>
      <c r="E14" s="40">
        <f>$E12*E13</f>
        <v>0</v>
      </c>
      <c r="F14" s="40">
        <f>$E12*F13</f>
        <v>0</v>
      </c>
      <c r="G14" s="40">
        <f>$E12*G13</f>
        <v>0</v>
      </c>
      <c r="H14" s="40">
        <f>$E12*H13</f>
        <v>0</v>
      </c>
      <c r="I14" s="40">
        <f>$E12*I13</f>
        <v>0</v>
      </c>
    </row>
    <row r="15" spans="2:10">
      <c r="B15" s="48">
        <f>SUM(B6:B14)-SUM(C15:I15)</f>
        <v>0</v>
      </c>
      <c r="C15" s="38"/>
      <c r="D15" s="39"/>
      <c r="E15" s="40">
        <f>E12+E14</f>
        <v>0</v>
      </c>
      <c r="F15" s="40">
        <f>F12+F14</f>
        <v>7687.4</v>
      </c>
      <c r="G15" s="40">
        <f>G12+G14</f>
        <v>7768.8</v>
      </c>
      <c r="H15" s="40">
        <f>H12+H14</f>
        <v>7561.6</v>
      </c>
      <c r="I15" s="40">
        <f>I12+I14</f>
        <v>14562.8</v>
      </c>
    </row>
    <row r="16" spans="2:10">
      <c r="B16" t="s">
        <v>51</v>
      </c>
    </row>
    <row r="17" spans="2:10">
      <c r="E17" s="56" t="s">
        <v>44</v>
      </c>
      <c r="F17" s="56" t="s">
        <v>150</v>
      </c>
      <c r="G17" s="56" t="s">
        <v>151</v>
      </c>
      <c r="H17" s="59" t="s">
        <v>152</v>
      </c>
      <c r="I17" s="59" t="s">
        <v>143</v>
      </c>
    </row>
    <row r="18" spans="2:10">
      <c r="E18" s="57" t="s">
        <v>45</v>
      </c>
      <c r="F18" s="44">
        <f>8460+4000+12000+16000</f>
        <v>40460</v>
      </c>
      <c r="G18" s="44">
        <f>98+214</f>
        <v>312</v>
      </c>
      <c r="H18" s="44">
        <f>46+93</f>
        <v>139</v>
      </c>
      <c r="I18" s="41">
        <v>98000</v>
      </c>
    </row>
    <row r="19" spans="2:10">
      <c r="E19" s="57" t="s">
        <v>46</v>
      </c>
      <c r="F19" s="153">
        <f>F15/F18</f>
        <v>0.19</v>
      </c>
      <c r="G19" s="43">
        <f>G15/G18</f>
        <v>24.900000000000002</v>
      </c>
      <c r="H19" s="43">
        <f>H15/H18</f>
        <v>54.400000000000006</v>
      </c>
      <c r="I19" s="53">
        <f>I15/I18</f>
        <v>0.14859999999999998</v>
      </c>
    </row>
    <row r="20" spans="2:10">
      <c r="E20" s="55"/>
      <c r="F20" s="58" t="s">
        <v>47</v>
      </c>
      <c r="G20" s="58" t="s">
        <v>48</v>
      </c>
      <c r="H20" s="58" t="s">
        <v>49</v>
      </c>
      <c r="I20" s="58" t="s">
        <v>49</v>
      </c>
    </row>
    <row r="21" spans="2:10">
      <c r="H21" t="s">
        <v>50</v>
      </c>
    </row>
    <row r="23" spans="2:10">
      <c r="B23" s="101" t="s">
        <v>85</v>
      </c>
      <c r="C23" s="100"/>
      <c r="D23" s="100"/>
      <c r="E23" s="100"/>
      <c r="F23" s="102" t="s">
        <v>86</v>
      </c>
      <c r="G23" s="100"/>
      <c r="H23" s="100"/>
      <c r="I23" s="100"/>
      <c r="J23" s="100"/>
    </row>
    <row r="25" spans="2:10">
      <c r="B25" s="54" t="s">
        <v>52</v>
      </c>
      <c r="C25" s="55"/>
      <c r="D25" s="55"/>
      <c r="E25" s="55"/>
      <c r="F25" s="55"/>
      <c r="G25" s="55"/>
      <c r="H25" s="55"/>
    </row>
    <row r="26" spans="2:10">
      <c r="B26" s="55" t="s">
        <v>124</v>
      </c>
      <c r="C26" s="213" t="s">
        <v>42</v>
      </c>
      <c r="D26" s="213"/>
      <c r="E26" s="213"/>
      <c r="F26" s="213" t="s">
        <v>43</v>
      </c>
      <c r="G26" s="213"/>
      <c r="H26" s="213"/>
    </row>
    <row r="27" spans="2:10">
      <c r="B27" s="54" t="s">
        <v>39</v>
      </c>
      <c r="C27" s="55" t="s">
        <v>133</v>
      </c>
      <c r="D27" s="55" t="s">
        <v>134</v>
      </c>
      <c r="E27" s="55" t="s">
        <v>135</v>
      </c>
      <c r="F27" s="55" t="s">
        <v>136</v>
      </c>
      <c r="G27" s="55" t="s">
        <v>137</v>
      </c>
      <c r="H27" s="55" t="s">
        <v>138</v>
      </c>
      <c r="I27" s="55" t="s">
        <v>139</v>
      </c>
    </row>
    <row r="28" spans="2:10">
      <c r="B28" s="46">
        <f>SUM(C28:I28)</f>
        <v>533111</v>
      </c>
      <c r="C28" s="41">
        <v>25000</v>
      </c>
      <c r="D28" s="41">
        <v>10000</v>
      </c>
      <c r="E28" s="41">
        <v>20000</v>
      </c>
      <c r="F28" s="41">
        <v>100056</v>
      </c>
      <c r="G28" s="41">
        <v>151944</v>
      </c>
      <c r="H28" s="41">
        <v>124444</v>
      </c>
      <c r="I28" s="41">
        <v>101667</v>
      </c>
    </row>
    <row r="29" spans="2:10">
      <c r="B29" s="37"/>
      <c r="C29" s="49">
        <f>-SUM(D29:I29)</f>
        <v>-1</v>
      </c>
      <c r="D29" s="136">
        <v>0</v>
      </c>
      <c r="E29" s="136">
        <v>0</v>
      </c>
      <c r="F29" s="136">
        <v>0.3</v>
      </c>
      <c r="G29" s="136">
        <v>0.5</v>
      </c>
      <c r="H29" s="136">
        <v>0</v>
      </c>
      <c r="I29" s="136">
        <v>0.2</v>
      </c>
    </row>
    <row r="30" spans="2:10">
      <c r="B30" s="38"/>
      <c r="C30" s="40">
        <f t="shared" ref="C30:H30" si="6">$C28*C29</f>
        <v>-25000</v>
      </c>
      <c r="D30" s="40">
        <f t="shared" si="6"/>
        <v>0</v>
      </c>
      <c r="E30" s="40">
        <f t="shared" si="6"/>
        <v>0</v>
      </c>
      <c r="F30" s="40">
        <f t="shared" si="6"/>
        <v>7500</v>
      </c>
      <c r="G30" s="40">
        <f t="shared" si="6"/>
        <v>12500</v>
      </c>
      <c r="H30" s="40">
        <f t="shared" si="6"/>
        <v>0</v>
      </c>
      <c r="I30" s="40">
        <f t="shared" ref="I30" si="7">$C28*I29</f>
        <v>5000</v>
      </c>
    </row>
    <row r="31" spans="2:10">
      <c r="B31" s="38"/>
      <c r="C31" s="43">
        <f t="shared" ref="C31:H31" si="8">C28+C30</f>
        <v>0</v>
      </c>
      <c r="D31" s="40">
        <f t="shared" si="8"/>
        <v>10000</v>
      </c>
      <c r="E31" s="40">
        <f t="shared" si="8"/>
        <v>20000</v>
      </c>
      <c r="F31" s="40">
        <f t="shared" si="8"/>
        <v>107556</v>
      </c>
      <c r="G31" s="40">
        <f t="shared" si="8"/>
        <v>164444</v>
      </c>
      <c r="H31" s="40">
        <f t="shared" si="8"/>
        <v>124444</v>
      </c>
      <c r="I31" s="40">
        <f t="shared" ref="I31" si="9">I28+I30</f>
        <v>106667</v>
      </c>
    </row>
    <row r="32" spans="2:10">
      <c r="B32" s="38"/>
      <c r="C32" s="51"/>
      <c r="D32" s="49">
        <f>-SUM(E32:I32)</f>
        <v>-1</v>
      </c>
      <c r="E32" s="136">
        <v>0.2</v>
      </c>
      <c r="F32" s="136">
        <v>0.2</v>
      </c>
      <c r="G32" s="136">
        <v>0</v>
      </c>
      <c r="H32" s="136">
        <v>0.3</v>
      </c>
      <c r="I32" s="136">
        <v>0.3</v>
      </c>
    </row>
    <row r="33" spans="2:10">
      <c r="B33" s="38"/>
      <c r="C33" s="38"/>
      <c r="D33" s="40">
        <f>$D31*D32-D35*E34</f>
        <v>-11111.111111111111</v>
      </c>
      <c r="E33" s="40">
        <f>E32*(($D31+$D35*$E31)/(1-$D35*$E32))</f>
        <v>2222.2222222222222</v>
      </c>
      <c r="F33" s="40">
        <f>F32*(($D31+$D35*$E31)/(1-$D35*$E32))</f>
        <v>2222.2222222222222</v>
      </c>
      <c r="G33" s="40">
        <f>G32*(($D31+$D35*$E31)/(1-$D35*$E32))</f>
        <v>0</v>
      </c>
      <c r="H33" s="40">
        <f>H32*(($D31+$D35*$E31)/(1-$D35*$E32))</f>
        <v>3333.3333333333335</v>
      </c>
      <c r="I33" s="40">
        <f>I32*(($D31+$D35*$E31)/(1-$D35*$E32))</f>
        <v>3333.3333333333335</v>
      </c>
    </row>
    <row r="34" spans="2:10">
      <c r="B34" s="38"/>
      <c r="C34" s="45"/>
      <c r="D34" s="40">
        <f t="shared" ref="D34:I34" si="10">D31+D33</f>
        <v>-1111.1111111111113</v>
      </c>
      <c r="E34" s="40">
        <f t="shared" si="10"/>
        <v>22222.222222222223</v>
      </c>
      <c r="F34" s="40">
        <f t="shared" si="10"/>
        <v>109778.22222222222</v>
      </c>
      <c r="G34" s="40">
        <f t="shared" si="10"/>
        <v>164444</v>
      </c>
      <c r="H34" s="40">
        <f t="shared" si="10"/>
        <v>127777.33333333333</v>
      </c>
      <c r="I34" s="40">
        <f t="shared" si="10"/>
        <v>110000.33333333333</v>
      </c>
    </row>
    <row r="35" spans="2:10">
      <c r="B35" s="38"/>
      <c r="C35" s="51"/>
      <c r="D35" s="137">
        <v>0.05</v>
      </c>
      <c r="E35" s="52">
        <f>-D35-SUM(F35:I35)</f>
        <v>-1</v>
      </c>
      <c r="F35" s="136">
        <v>0.1</v>
      </c>
      <c r="G35" s="136">
        <v>0.25</v>
      </c>
      <c r="H35" s="136">
        <v>0.1</v>
      </c>
      <c r="I35" s="136">
        <v>0.5</v>
      </c>
    </row>
    <row r="36" spans="2:10">
      <c r="B36" s="38"/>
      <c r="C36" s="38"/>
      <c r="D36" s="40">
        <f t="shared" ref="D36:I36" si="11">$E34*D35</f>
        <v>1111.1111111111111</v>
      </c>
      <c r="E36" s="40">
        <f t="shared" si="11"/>
        <v>-22222.222222222223</v>
      </c>
      <c r="F36" s="40">
        <f t="shared" si="11"/>
        <v>2222.2222222222222</v>
      </c>
      <c r="G36" s="40">
        <f t="shared" si="11"/>
        <v>5555.5555555555557</v>
      </c>
      <c r="H36" s="40">
        <f t="shared" si="11"/>
        <v>2222.2222222222222</v>
      </c>
      <c r="I36" s="40">
        <f t="shared" si="11"/>
        <v>11111.111111111111</v>
      </c>
    </row>
    <row r="37" spans="2:10">
      <c r="B37" s="48">
        <f>SUM(B28:B36)-SUM(C37:I37)</f>
        <v>0</v>
      </c>
      <c r="C37" s="38"/>
      <c r="D37" s="40">
        <f t="shared" ref="D37:I37" si="12">D34+D36</f>
        <v>0</v>
      </c>
      <c r="E37" s="40">
        <f t="shared" si="12"/>
        <v>0</v>
      </c>
      <c r="F37" s="40">
        <f t="shared" si="12"/>
        <v>112000.44444444444</v>
      </c>
      <c r="G37" s="40">
        <f t="shared" si="12"/>
        <v>169999.55555555556</v>
      </c>
      <c r="H37" s="40">
        <f t="shared" si="12"/>
        <v>129999.55555555555</v>
      </c>
      <c r="I37" s="40">
        <f t="shared" si="12"/>
        <v>121111.44444444444</v>
      </c>
    </row>
    <row r="38" spans="2:10">
      <c r="B38" t="s">
        <v>51</v>
      </c>
      <c r="F38" s="50"/>
      <c r="G38" s="50"/>
      <c r="H38" s="50"/>
    </row>
    <row r="39" spans="2:10">
      <c r="D39" s="211" t="s">
        <v>44</v>
      </c>
      <c r="E39" s="211"/>
      <c r="F39" s="146" t="s">
        <v>140</v>
      </c>
      <c r="G39" s="146" t="s">
        <v>141</v>
      </c>
      <c r="H39" s="147" t="s">
        <v>142</v>
      </c>
      <c r="I39" s="147" t="s">
        <v>143</v>
      </c>
    </row>
    <row r="40" spans="2:10">
      <c r="B40" s="37"/>
      <c r="D40" s="212" t="s">
        <v>45</v>
      </c>
      <c r="E40" s="212"/>
      <c r="F40" s="44">
        <v>2000</v>
      </c>
      <c r="G40" s="44">
        <v>17000</v>
      </c>
      <c r="H40" s="41">
        <v>13000</v>
      </c>
      <c r="I40" s="41">
        <v>12000000</v>
      </c>
    </row>
    <row r="41" spans="2:10">
      <c r="D41" s="212" t="s">
        <v>46</v>
      </c>
      <c r="E41" s="212"/>
      <c r="F41" s="40">
        <f>F37/F40</f>
        <v>56.00022222222222</v>
      </c>
      <c r="G41" s="40">
        <f>G37/G40</f>
        <v>9.9999738562091505</v>
      </c>
      <c r="H41" s="43">
        <f>H37/H40</f>
        <v>9.9999658119658115</v>
      </c>
      <c r="I41" s="53">
        <f>I37/I40</f>
        <v>1.009262037037037E-2</v>
      </c>
    </row>
    <row r="42" spans="2:10">
      <c r="F42" s="47" t="s">
        <v>47</v>
      </c>
      <c r="G42" s="47" t="s">
        <v>48</v>
      </c>
      <c r="H42" s="47" t="s">
        <v>49</v>
      </c>
      <c r="I42" s="47" t="s">
        <v>49</v>
      </c>
    </row>
    <row r="44" spans="2:10">
      <c r="B44" s="101" t="s">
        <v>85</v>
      </c>
      <c r="C44" s="100"/>
      <c r="D44" s="100"/>
      <c r="E44" s="100"/>
      <c r="F44" s="102" t="s">
        <v>86</v>
      </c>
      <c r="G44" s="100"/>
      <c r="H44" s="100"/>
      <c r="I44" s="100"/>
      <c r="J44" s="100"/>
    </row>
  </sheetData>
  <mergeCells count="7">
    <mergeCell ref="D39:E39"/>
    <mergeCell ref="D40:E40"/>
    <mergeCell ref="D41:E41"/>
    <mergeCell ref="C4:E4"/>
    <mergeCell ref="F4:H4"/>
    <mergeCell ref="C26:E26"/>
    <mergeCell ref="F26:H26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H34"/>
  <sheetViews>
    <sheetView zoomScaleNormal="100" workbookViewId="0">
      <selection activeCell="G1" sqref="G1"/>
    </sheetView>
  </sheetViews>
  <sheetFormatPr baseColWidth="10" defaultRowHeight="15"/>
  <cols>
    <col min="3" max="3" width="27.28515625" customWidth="1"/>
    <col min="4" max="4" width="16.42578125" bestFit="1" customWidth="1"/>
    <col min="5" max="5" width="15" customWidth="1"/>
  </cols>
  <sheetData>
    <row r="2" spans="2:8">
      <c r="B2" s="42" t="s">
        <v>53</v>
      </c>
      <c r="C2" s="42"/>
      <c r="D2" s="42"/>
      <c r="E2" s="42"/>
    </row>
    <row r="3" spans="2:8">
      <c r="B3" s="42"/>
      <c r="C3" s="11" t="s">
        <v>54</v>
      </c>
      <c r="D3" s="78">
        <f>32</f>
        <v>32</v>
      </c>
      <c r="E3" s="42"/>
    </row>
    <row r="4" spans="2:8">
      <c r="B4" s="42"/>
      <c r="C4" s="11" t="s">
        <v>55</v>
      </c>
      <c r="D4" s="148">
        <v>1</v>
      </c>
      <c r="E4" s="42"/>
      <c r="F4" t="s">
        <v>56</v>
      </c>
    </row>
    <row r="5" spans="2:8">
      <c r="B5" s="42"/>
      <c r="C5" s="11" t="s">
        <v>57</v>
      </c>
      <c r="D5" s="78">
        <v>6500000</v>
      </c>
      <c r="E5" s="42"/>
      <c r="F5" t="s">
        <v>58</v>
      </c>
    </row>
    <row r="6" spans="2:8">
      <c r="B6" s="42"/>
      <c r="C6" s="11" t="s">
        <v>132</v>
      </c>
      <c r="D6" s="78">
        <f>8+11</f>
        <v>19</v>
      </c>
      <c r="E6" s="42"/>
      <c r="F6" t="s">
        <v>60</v>
      </c>
    </row>
    <row r="7" spans="2:8">
      <c r="B7" s="42" t="s">
        <v>61</v>
      </c>
      <c r="C7" s="42"/>
      <c r="D7" s="42"/>
      <c r="E7" s="42"/>
    </row>
    <row r="8" spans="2:8">
      <c r="B8" s="42"/>
      <c r="C8" s="11" t="s">
        <v>62</v>
      </c>
      <c r="D8" s="77">
        <f>D3*D4</f>
        <v>32</v>
      </c>
      <c r="E8" s="42"/>
    </row>
    <row r="9" spans="2:8">
      <c r="B9" s="42"/>
      <c r="C9" s="11" t="s">
        <v>157</v>
      </c>
      <c r="D9" s="77">
        <v>8</v>
      </c>
      <c r="E9" s="42"/>
    </row>
    <row r="10" spans="2:8">
      <c r="B10" s="42"/>
      <c r="C10" s="11" t="s">
        <v>158</v>
      </c>
      <c r="D10" s="81">
        <f>D9/D8</f>
        <v>0.25</v>
      </c>
      <c r="E10" s="42"/>
    </row>
    <row r="11" spans="2:8">
      <c r="B11" s="42" t="s">
        <v>160</v>
      </c>
      <c r="C11" s="42"/>
      <c r="D11" s="42"/>
      <c r="E11" s="11" t="s">
        <v>74</v>
      </c>
    </row>
    <row r="12" spans="2:8">
      <c r="B12" s="42"/>
      <c r="C12" s="11" t="s">
        <v>63</v>
      </c>
      <c r="D12" s="143">
        <f>D5/D9</f>
        <v>812500</v>
      </c>
      <c r="E12" s="144">
        <f>ROUNDUP(D12,0)</f>
        <v>812500</v>
      </c>
      <c r="G12" s="187" t="s">
        <v>161</v>
      </c>
      <c r="H12" s="188">
        <v>2008</v>
      </c>
    </row>
    <row r="13" spans="2:8">
      <c r="B13" s="42"/>
      <c r="C13" s="11" t="s">
        <v>75</v>
      </c>
      <c r="D13" s="77">
        <f>E12*D3</f>
        <v>26000000</v>
      </c>
      <c r="E13" s="42"/>
      <c r="G13" s="187" t="s">
        <v>162</v>
      </c>
      <c r="H13" s="188">
        <v>1</v>
      </c>
    </row>
    <row r="14" spans="2:8">
      <c r="B14" s="42"/>
      <c r="C14" s="11" t="s">
        <v>159</v>
      </c>
      <c r="D14" s="144">
        <f>(D13/D20)*365</f>
        <v>370.703125</v>
      </c>
      <c r="E14" s="184">
        <f>D14+DATE(H12,H13,H14)</f>
        <v>39818.703125</v>
      </c>
      <c r="G14" s="185" t="s">
        <v>163</v>
      </c>
      <c r="H14" s="186">
        <v>1</v>
      </c>
    </row>
    <row r="15" spans="2:8">
      <c r="B15" s="42" t="s">
        <v>64</v>
      </c>
      <c r="C15" s="42"/>
      <c r="D15" s="42"/>
      <c r="E15" s="42"/>
    </row>
    <row r="16" spans="2:8">
      <c r="B16" s="42"/>
      <c r="C16" s="11" t="s">
        <v>65</v>
      </c>
      <c r="D16" s="79">
        <v>0</v>
      </c>
      <c r="E16" s="42"/>
    </row>
    <row r="17" spans="2:5">
      <c r="B17" s="42"/>
      <c r="C17" s="10" t="s">
        <v>125</v>
      </c>
      <c r="D17" s="143">
        <f>(D5+D16)/D9</f>
        <v>812500</v>
      </c>
      <c r="E17" s="144">
        <f>ROUNDUP(D17,0)</f>
        <v>812500</v>
      </c>
    </row>
    <row r="18" spans="2:5">
      <c r="B18" s="42" t="s">
        <v>66</v>
      </c>
      <c r="C18" s="42"/>
      <c r="D18" s="42"/>
      <c r="E18" s="42"/>
    </row>
    <row r="19" spans="2:5">
      <c r="B19" s="42"/>
      <c r="C19" s="11" t="s">
        <v>67</v>
      </c>
      <c r="D19" s="145">
        <v>800000</v>
      </c>
      <c r="E19" s="42"/>
    </row>
    <row r="20" spans="2:5">
      <c r="B20" s="42"/>
      <c r="C20" s="11" t="s">
        <v>68</v>
      </c>
      <c r="D20" s="77">
        <f>D19*D3</f>
        <v>25600000</v>
      </c>
      <c r="E20" s="42"/>
    </row>
    <row r="21" spans="2:5">
      <c r="B21" s="42"/>
      <c r="C21" s="11" t="s">
        <v>69</v>
      </c>
      <c r="D21" s="144">
        <f>D20-D13</f>
        <v>-400000</v>
      </c>
      <c r="E21" s="42"/>
    </row>
    <row r="22" spans="2:5">
      <c r="B22" s="42"/>
      <c r="C22" s="11" t="s">
        <v>70</v>
      </c>
      <c r="D22" s="74">
        <f>D21/(D3*D19)</f>
        <v>-1.5625E-2</v>
      </c>
      <c r="E22" s="42"/>
    </row>
    <row r="23" spans="2:5">
      <c r="B23" s="42"/>
      <c r="C23" s="42"/>
      <c r="D23" s="42"/>
      <c r="E23" s="42"/>
    </row>
    <row r="24" spans="2:5">
      <c r="B24" s="42"/>
      <c r="C24" s="11" t="s">
        <v>36</v>
      </c>
      <c r="D24" s="77">
        <f>D19*D9-D5</f>
        <v>-100000</v>
      </c>
      <c r="E24" s="42"/>
    </row>
    <row r="25" spans="2:5">
      <c r="B25" s="42"/>
      <c r="C25" s="42"/>
      <c r="D25" s="42"/>
      <c r="E25" s="42"/>
    </row>
    <row r="28" spans="2:5">
      <c r="B28" s="75" t="s">
        <v>71</v>
      </c>
      <c r="C28" s="75"/>
      <c r="D28" s="75"/>
      <c r="E28" s="75"/>
    </row>
    <row r="29" spans="2:5">
      <c r="B29" s="75"/>
      <c r="C29" s="11" t="s">
        <v>72</v>
      </c>
      <c r="D29" s="78">
        <v>400000</v>
      </c>
      <c r="E29" s="75"/>
    </row>
    <row r="30" spans="2:5">
      <c r="B30" s="75"/>
      <c r="C30" s="11" t="s">
        <v>57</v>
      </c>
      <c r="D30" s="78">
        <v>150000</v>
      </c>
      <c r="E30" s="75"/>
    </row>
    <row r="31" spans="2:5">
      <c r="B31" s="75"/>
      <c r="C31" s="11" t="s">
        <v>59</v>
      </c>
      <c r="D31" s="78">
        <v>400</v>
      </c>
      <c r="E31" s="75"/>
    </row>
    <row r="32" spans="2:5">
      <c r="B32" s="75"/>
      <c r="C32" s="75"/>
      <c r="D32" s="75"/>
      <c r="E32" s="75"/>
    </row>
    <row r="33" spans="2:5">
      <c r="B33" s="75"/>
      <c r="C33" s="11" t="s">
        <v>73</v>
      </c>
      <c r="D33" s="144">
        <f>(D29-D30)/D31</f>
        <v>625</v>
      </c>
      <c r="E33" s="75"/>
    </row>
    <row r="34" spans="2:5">
      <c r="B34" s="75"/>
      <c r="C34" s="75"/>
      <c r="D34" s="75"/>
      <c r="E34" s="7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Coûts</vt:lpstr>
      <vt:lpstr>Gestion des Stocks</vt:lpstr>
      <vt:lpstr>Charges Directes-Indirectes</vt:lpstr>
      <vt:lpstr>Coûts Complets</vt:lpstr>
      <vt:lpstr>Direct Costing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Lanzeray</cp:lastModifiedBy>
  <dcterms:created xsi:type="dcterms:W3CDTF">2012-03-31T11:08:41Z</dcterms:created>
  <dcterms:modified xsi:type="dcterms:W3CDTF">2013-04-10T09:47:37Z</dcterms:modified>
</cp:coreProperties>
</file>