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8790" firstSheet="3" activeTab="5"/>
  </bookViews>
  <sheets>
    <sheet name="page de garde" sheetId="3" r:id="rId1"/>
    <sheet name="BALANCE FIN 12" sheetId="6" r:id="rId2"/>
    <sheet name="Compte de resultat" sheetId="7" r:id="rId3"/>
    <sheet name="bilan 12" sheetId="1" r:id="rId4"/>
    <sheet name="AMORTISSEMENTS" sheetId="2" r:id="rId5"/>
    <sheet name="STOCKS" sheetId="4" r:id="rId6"/>
    <sheet name="CLTS DTX" sheetId="5" r:id="rId7"/>
    <sheet name="ETATS 13" sheetId="8" r:id="rId8"/>
  </sheets>
  <calcPr calcId="125725"/>
</workbook>
</file>

<file path=xl/calcChain.xml><?xml version="1.0" encoding="utf-8"?>
<calcChain xmlns="http://schemas.openxmlformats.org/spreadsheetml/2006/main">
  <c r="D24" i="8"/>
  <c r="B26"/>
  <c r="B24"/>
  <c r="B28"/>
  <c r="B23"/>
  <c r="B18"/>
  <c r="B17"/>
  <c r="B29"/>
  <c r="D30"/>
  <c r="E30" s="1"/>
  <c r="B30"/>
  <c r="C8"/>
  <c r="C6"/>
  <c r="B6"/>
  <c r="B5"/>
  <c r="F5"/>
  <c r="D10"/>
  <c r="B9"/>
  <c r="D9" s="1"/>
  <c r="C11"/>
  <c r="D8"/>
  <c r="F7"/>
  <c r="B7"/>
  <c r="B11" s="1"/>
  <c r="D6"/>
  <c r="D5"/>
  <c r="D4"/>
  <c r="F3"/>
  <c r="D3"/>
  <c r="F2"/>
  <c r="F11" s="1"/>
  <c r="D2"/>
  <c r="F4" i="1"/>
  <c r="B16" i="7"/>
  <c r="D4"/>
  <c r="D17" s="1"/>
  <c r="B14"/>
  <c r="B8"/>
  <c r="B7"/>
  <c r="B6"/>
  <c r="B4"/>
  <c r="B17" s="1"/>
  <c r="D29" i="6"/>
  <c r="C29"/>
  <c r="E29" s="1"/>
  <c r="F7" i="1"/>
  <c r="D6" i="6"/>
  <c r="F3" i="1"/>
  <c r="F2"/>
  <c r="B9"/>
  <c r="B7"/>
  <c r="D18" i="6"/>
  <c r="C17"/>
  <c r="C20" s="1"/>
  <c r="C8" i="1"/>
  <c r="B8"/>
  <c r="C6" i="5"/>
  <c r="B6"/>
  <c r="E20" i="4"/>
  <c r="D19"/>
  <c r="E18"/>
  <c r="D17"/>
  <c r="E16"/>
  <c r="D15"/>
  <c r="D13"/>
  <c r="E14" s="1"/>
  <c r="E11"/>
  <c r="D12" s="1"/>
  <c r="D10"/>
  <c r="E9" s="1"/>
  <c r="L37" i="2"/>
  <c r="L38"/>
  <c r="L39"/>
  <c r="E29"/>
  <c r="E30" s="1"/>
  <c r="E31" s="1"/>
  <c r="E32" s="1"/>
  <c r="E33" s="1"/>
  <c r="E34" s="1"/>
  <c r="E35" s="1"/>
  <c r="E36" s="1"/>
  <c r="E37" s="1"/>
  <c r="E38" s="1"/>
  <c r="E39" s="1"/>
  <c r="D29"/>
  <c r="B30" s="1"/>
  <c r="D30" s="1"/>
  <c r="B31" s="1"/>
  <c r="D31" s="1"/>
  <c r="B32" s="1"/>
  <c r="D32" s="1"/>
  <c r="B33" s="1"/>
  <c r="D33" s="1"/>
  <c r="B34" s="1"/>
  <c r="D34" s="1"/>
  <c r="B35" s="1"/>
  <c r="D35" s="1"/>
  <c r="B36" s="1"/>
  <c r="D36" s="1"/>
  <c r="B37" s="1"/>
  <c r="D37" s="1"/>
  <c r="B38" s="1"/>
  <c r="D38" s="1"/>
  <c r="B39" s="1"/>
  <c r="D39" s="1"/>
  <c r="C26"/>
  <c r="I29" s="1"/>
  <c r="C25"/>
  <c r="C21"/>
  <c r="C20"/>
  <c r="D3" i="1"/>
  <c r="D4"/>
  <c r="D5"/>
  <c r="D6"/>
  <c r="D7"/>
  <c r="D8"/>
  <c r="D9"/>
  <c r="D10"/>
  <c r="D2"/>
  <c r="E10" i="2"/>
  <c r="E11" s="1"/>
  <c r="D10"/>
  <c r="B11" s="1"/>
  <c r="D11" s="1"/>
  <c r="B12" s="1"/>
  <c r="D12" s="1"/>
  <c r="B13" s="1"/>
  <c r="D13" s="1"/>
  <c r="B14" s="1"/>
  <c r="D14" s="1"/>
  <c r="B15" s="1"/>
  <c r="D15" s="1"/>
  <c r="C8"/>
  <c r="C6"/>
  <c r="B5"/>
  <c r="C11" i="1"/>
  <c r="D11"/>
  <c r="B11"/>
  <c r="D7" i="8" l="1"/>
  <c r="D11" s="1"/>
  <c r="G4" s="1"/>
  <c r="D10" i="6"/>
  <c r="E12" i="2"/>
  <c r="E13" s="1"/>
  <c r="E14" s="1"/>
  <c r="E15" s="1"/>
  <c r="L29"/>
  <c r="K29"/>
  <c r="J29"/>
  <c r="H30" s="1"/>
  <c r="D11" i="6"/>
  <c r="I30" i="2" l="1"/>
  <c r="L30" s="1"/>
  <c r="M30" s="1"/>
  <c r="F5" i="1" s="1"/>
  <c r="F11" s="1"/>
  <c r="K30" i="2"/>
  <c r="J30" l="1"/>
  <c r="H31" s="1"/>
  <c r="I31" l="1"/>
  <c r="D20" i="6"/>
  <c r="E20" s="1"/>
  <c r="L31" i="2" l="1"/>
  <c r="K31"/>
  <c r="J31"/>
  <c r="H32" s="1"/>
  <c r="I32" s="1"/>
  <c r="J32" l="1"/>
  <c r="H33" s="1"/>
  <c r="I33" s="1"/>
  <c r="L32"/>
  <c r="K32"/>
  <c r="K33" s="1"/>
  <c r="E46"/>
  <c r="D45"/>
  <c r="M31"/>
  <c r="J33" l="1"/>
  <c r="H34" s="1"/>
  <c r="L33"/>
  <c r="M32"/>
  <c r="M33" l="1"/>
  <c r="I34"/>
  <c r="J34"/>
  <c r="H35" s="1"/>
  <c r="I35" l="1"/>
  <c r="L35" s="1"/>
  <c r="L34"/>
  <c r="K34"/>
  <c r="K35" s="1"/>
  <c r="M34" l="1"/>
  <c r="M35"/>
  <c r="J35"/>
  <c r="H36" s="1"/>
  <c r="I36" l="1"/>
  <c r="J36"/>
  <c r="L36" l="1"/>
  <c r="K36"/>
  <c r="M36" l="1"/>
  <c r="M37" s="1"/>
  <c r="M38" s="1"/>
  <c r="M39" s="1"/>
  <c r="L40"/>
</calcChain>
</file>

<file path=xl/sharedStrings.xml><?xml version="1.0" encoding="utf-8"?>
<sst xmlns="http://schemas.openxmlformats.org/spreadsheetml/2006/main" count="199" uniqueCount="116">
  <si>
    <t>TERRAIN</t>
  </si>
  <si>
    <t>BATIMENT</t>
  </si>
  <si>
    <t>MATERIEL</t>
  </si>
  <si>
    <t>STOCK MATIERES PREMIERES</t>
  </si>
  <si>
    <t>STOCK PRODUITS FINIS</t>
  </si>
  <si>
    <t>CLIENTS</t>
  </si>
  <si>
    <t>CLIENTS DOUTEUX</t>
  </si>
  <si>
    <t>BANQUE</t>
  </si>
  <si>
    <t>RESULTAT</t>
  </si>
  <si>
    <t>FOURNISSEURS</t>
  </si>
  <si>
    <t>RESERE LEGALE</t>
  </si>
  <si>
    <t>TOTAL</t>
  </si>
  <si>
    <t>PROVISIONS REGLEMENTEES</t>
  </si>
  <si>
    <t>Acheté 50000</t>
  </si>
  <si>
    <t>KEXAM</t>
  </si>
  <si>
    <t>Ceci est un mini cas pour vous preparer à l'examen.</t>
  </si>
  <si>
    <t>On vous demande de passer les écritures d'inventaire sur une période 13,</t>
  </si>
  <si>
    <t>puis de construire le bilan et le compte de résultat fin 13.</t>
  </si>
  <si>
    <t>Nous sommes en N+2.</t>
  </si>
  <si>
    <t>Amorti en linéaire</t>
  </si>
  <si>
    <t>taux  =100:5=</t>
  </si>
  <si>
    <t>Annuité :</t>
  </si>
  <si>
    <t>50000/5=</t>
  </si>
  <si>
    <t>année</t>
  </si>
  <si>
    <t>n</t>
  </si>
  <si>
    <t>n+1</t>
  </si>
  <si>
    <t>n+2</t>
  </si>
  <si>
    <t>n+3</t>
  </si>
  <si>
    <t>n+4</t>
  </si>
  <si>
    <t>n+5</t>
  </si>
  <si>
    <t>Année n prorata temporis</t>
  </si>
  <si>
    <t>10000*180/360</t>
  </si>
  <si>
    <t>BASE</t>
  </si>
  <si>
    <t>Annuité</t>
  </si>
  <si>
    <t>Base nette</t>
  </si>
  <si>
    <t>Cumul des Annuités</t>
  </si>
  <si>
    <t>Bâtiment</t>
  </si>
  <si>
    <t>Matériel</t>
  </si>
  <si>
    <t>Acheté 20 000</t>
  </si>
  <si>
    <t>Amortissement du bâtiment en linéaire sur 5 ans</t>
  </si>
  <si>
    <t>Amortissement du matériel en linéaire sur 10 ans</t>
  </si>
  <si>
    <t>Linéaire 10 ans</t>
  </si>
  <si>
    <t>fiscal 8ans</t>
  </si>
  <si>
    <t>taux linéaire = 100/10 =</t>
  </si>
  <si>
    <t>Annuité  : 20 000/10</t>
  </si>
  <si>
    <t>1ére annuité</t>
  </si>
  <si>
    <t>2000*180/360</t>
  </si>
  <si>
    <t>taux linéaire = 100:8</t>
  </si>
  <si>
    <t>Taux dégressif 12,5*  2.5</t>
  </si>
  <si>
    <t>n+6</t>
  </si>
  <si>
    <t>n+7</t>
  </si>
  <si>
    <t>n+8</t>
  </si>
  <si>
    <t>n+9</t>
  </si>
  <si>
    <t>n+10</t>
  </si>
  <si>
    <t>DEROGATOIRE</t>
  </si>
  <si>
    <t>CAPITAL</t>
  </si>
  <si>
    <t>RESULTAT DE L'INVENTAIRE</t>
  </si>
  <si>
    <t>DP PDTS FINIS 2000</t>
  </si>
  <si>
    <t>DOT AMORT</t>
  </si>
  <si>
    <t>AMORT BAT</t>
  </si>
  <si>
    <t>AMORT MAT</t>
  </si>
  <si>
    <t>DOT AMORT DER</t>
  </si>
  <si>
    <t>AMORT DEROG</t>
  </si>
  <si>
    <t>VARIATION DE STOCK</t>
  </si>
  <si>
    <t>PRODUCTION STOCKEE</t>
  </si>
  <si>
    <t>DP SUR STOCKS</t>
  </si>
  <si>
    <t>REPRISE DADP</t>
  </si>
  <si>
    <t>BALANCE FIN 12</t>
  </si>
  <si>
    <t>REPORT A NOUVEAU</t>
  </si>
  <si>
    <t>DP STOCK P FINIS</t>
  </si>
  <si>
    <t>DP CLTS DOUTEUX</t>
  </si>
  <si>
    <t>AMORT DEROGATOIRES</t>
  </si>
  <si>
    <t>AMORT MATERIEL</t>
  </si>
  <si>
    <t>DADP</t>
  </si>
  <si>
    <t>DOSSIERS CLIENTS DOUTEUX</t>
  </si>
  <si>
    <t>FAUCHER</t>
  </si>
  <si>
    <t>SANLESOU</t>
  </si>
  <si>
    <t>CREANCE HT</t>
  </si>
  <si>
    <t>DP EX ANTERIEUR</t>
  </si>
  <si>
    <t>REGLEMENT PENDANT L'ANNEE</t>
  </si>
  <si>
    <t>INFORMATIONS</t>
  </si>
  <si>
    <t>A DEPOSE SON BILAN</t>
  </si>
  <si>
    <t>GARDE NOTRE CONFIANCE</t>
  </si>
  <si>
    <t>Ne pas tenir compte de la TVA.</t>
  </si>
  <si>
    <t>CLT DTX FAUCHER</t>
  </si>
  <si>
    <t>PERTE/CRE DEV IRREC DANS L'EXER</t>
  </si>
  <si>
    <t>DP/CLT DOUTEUX FAUCHER</t>
  </si>
  <si>
    <t>DP/CLT DOUTEUX SANLESOU</t>
  </si>
  <si>
    <t>La société KEXAM a été créée le 1er juillet 20.n, et fait son bilan de clôture au 31 décembre</t>
  </si>
  <si>
    <t>La société a demandé à bénéficier de l'amortissement fiscal sur 8 ans.</t>
  </si>
  <si>
    <t>Prendre 2,5 comme coefficient fiscal pour calculer le taux dégressif</t>
  </si>
  <si>
    <t>RESULTAT DE L'EXERCICE</t>
  </si>
  <si>
    <t>BILAN FIN 12</t>
  </si>
  <si>
    <t>ACHATS MP</t>
  </si>
  <si>
    <t>ENTRETIEN &amp; REPARATIONS</t>
  </si>
  <si>
    <t>ASSURANCE</t>
  </si>
  <si>
    <t>IMPOTS &amp; TAXES</t>
  </si>
  <si>
    <t>CHARGES DE PERSONNEL</t>
  </si>
  <si>
    <t>CHARGES FINANCIERES</t>
  </si>
  <si>
    <t>VENTES DE PRODUITS FINIS</t>
  </si>
  <si>
    <t>COMPTE de RESULTAT FIN 12</t>
  </si>
  <si>
    <t>ACHAT</t>
  </si>
  <si>
    <t>VARIATION STOCK MP</t>
  </si>
  <si>
    <t>AUTRES ACHATS &amp; APPROV</t>
  </si>
  <si>
    <t>SALAIRES &amp; TRAITEMENTS</t>
  </si>
  <si>
    <t>CHARGES SOCIALES</t>
  </si>
  <si>
    <t>DOT AUX AMORTISSEMENTS</t>
  </si>
  <si>
    <t>DOT /ACTIF CIRCULANT  PROVISIONS</t>
  </si>
  <si>
    <t>AUTRES CHARGES</t>
  </si>
  <si>
    <t>CHIFFRE D'AFFAIRES</t>
  </si>
  <si>
    <t>CHARGES EXCEPTIONNELLES</t>
  </si>
  <si>
    <t>PROFIT</t>
  </si>
  <si>
    <t>PERTE</t>
  </si>
  <si>
    <t>BILAN FIN 13</t>
  </si>
  <si>
    <t>REPRISE</t>
  </si>
  <si>
    <t>COMPTE de RESULTAT FIN 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</si>
</sst>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2" fillId="0" borderId="1" xfId="1" applyFont="1" applyBorder="1"/>
    <xf numFmtId="0" fontId="3" fillId="0" borderId="0" xfId="0" applyFont="1"/>
    <xf numFmtId="43" fontId="4" fillId="0" borderId="1" xfId="1" applyFont="1" applyBorder="1"/>
    <xf numFmtId="43" fontId="4" fillId="0" borderId="1" xfId="1" applyFont="1" applyFill="1" applyBorder="1"/>
    <xf numFmtId="43" fontId="0" fillId="0" borderId="0" xfId="0" applyNumberFormat="1"/>
    <xf numFmtId="43" fontId="0" fillId="0" borderId="2" xfId="1" applyFont="1" applyBorder="1" applyAlignment="1">
      <alignment horizontal="center" wrapText="1"/>
    </xf>
    <xf numFmtId="43" fontId="0" fillId="0" borderId="2" xfId="1" applyFont="1" applyBorder="1"/>
    <xf numFmtId="43" fontId="2" fillId="0" borderId="2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4" fillId="0" borderId="1" xfId="0" applyNumberFormat="1" applyFont="1" applyBorder="1"/>
    <xf numFmtId="0" fontId="0" fillId="0" borderId="1" xfId="0" applyFill="1" applyBorder="1"/>
    <xf numFmtId="43" fontId="4" fillId="0" borderId="0" xfId="1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43" fontId="0" fillId="0" borderId="0" xfId="1" applyFont="1"/>
    <xf numFmtId="43" fontId="0" fillId="0" borderId="1" xfId="1" applyFont="1" applyFill="1" applyBorder="1" applyAlignment="1"/>
    <xf numFmtId="0" fontId="5" fillId="0" borderId="0" xfId="0" applyFont="1"/>
    <xf numFmtId="0" fontId="7" fillId="0" borderId="0" xfId="0" applyFont="1"/>
    <xf numFmtId="43" fontId="0" fillId="0" borderId="0" xfId="1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18" sqref="A18"/>
    </sheetView>
  </sheetViews>
  <sheetFormatPr baseColWidth="10" defaultRowHeight="15"/>
  <cols>
    <col min="1" max="1" width="96.85546875" customWidth="1"/>
  </cols>
  <sheetData>
    <row r="1" spans="1:1" ht="46.5">
      <c r="A1" s="29" t="s">
        <v>14</v>
      </c>
    </row>
    <row r="4" spans="1:1">
      <c r="A4" t="s">
        <v>15</v>
      </c>
    </row>
    <row r="5" spans="1:1">
      <c r="A5" t="s">
        <v>88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10" spans="1:1">
      <c r="A10" t="s">
        <v>39</v>
      </c>
    </row>
    <row r="11" spans="1:1">
      <c r="A11" t="s">
        <v>40</v>
      </c>
    </row>
    <row r="12" spans="1:1">
      <c r="A12" t="s">
        <v>89</v>
      </c>
    </row>
    <row r="13" spans="1:1">
      <c r="A13" t="s">
        <v>90</v>
      </c>
    </row>
    <row r="15" spans="1:1">
      <c r="A15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opLeftCell="A9" workbookViewId="0">
      <selection activeCell="C24" sqref="C24"/>
    </sheetView>
  </sheetViews>
  <sheetFormatPr baseColWidth="10" defaultRowHeight="15"/>
  <cols>
    <col min="1" max="1" width="9.85546875" style="20" customWidth="1"/>
    <col min="2" max="2" width="27.85546875" customWidth="1"/>
    <col min="3" max="3" width="13.7109375" customWidth="1"/>
    <col min="4" max="4" width="15.7109375" customWidth="1"/>
    <col min="5" max="5" width="11.5703125" bestFit="1" customWidth="1"/>
  </cols>
  <sheetData>
    <row r="1" spans="1:4" ht="23.25">
      <c r="B1" s="21" t="s">
        <v>67</v>
      </c>
    </row>
    <row r="2" spans="1:4">
      <c r="A2" s="23">
        <v>101</v>
      </c>
      <c r="B2" s="1" t="s">
        <v>55</v>
      </c>
      <c r="C2" s="2"/>
      <c r="D2" s="2">
        <v>90000</v>
      </c>
    </row>
    <row r="3" spans="1:4">
      <c r="A3" s="23">
        <v>106</v>
      </c>
      <c r="B3" s="1" t="s">
        <v>10</v>
      </c>
      <c r="C3" s="2"/>
      <c r="D3" s="2">
        <v>1000</v>
      </c>
    </row>
    <row r="4" spans="1:4">
      <c r="A4" s="23">
        <v>11</v>
      </c>
      <c r="B4" s="1" t="s">
        <v>68</v>
      </c>
      <c r="C4" s="2"/>
      <c r="D4" s="2"/>
    </row>
    <row r="5" spans="1:4">
      <c r="A5" s="23">
        <v>12</v>
      </c>
      <c r="B5" s="16" t="s">
        <v>91</v>
      </c>
      <c r="C5" s="2"/>
    </row>
    <row r="6" spans="1:4">
      <c r="A6" s="23">
        <v>145</v>
      </c>
      <c r="B6" s="16" t="s">
        <v>71</v>
      </c>
      <c r="C6" s="2"/>
      <c r="D6" s="2">
        <f>AMORTISSEMENTS!M30</f>
        <v>5398.4375</v>
      </c>
    </row>
    <row r="7" spans="1:4">
      <c r="A7" s="23">
        <v>211</v>
      </c>
      <c r="B7" s="1" t="s">
        <v>0</v>
      </c>
      <c r="C7" s="2">
        <v>20000</v>
      </c>
      <c r="D7" s="2"/>
    </row>
    <row r="8" spans="1:4">
      <c r="A8" s="23">
        <v>213</v>
      </c>
      <c r="B8" s="1" t="s">
        <v>1</v>
      </c>
      <c r="C8" s="2">
        <v>50000</v>
      </c>
      <c r="D8" s="2"/>
    </row>
    <row r="9" spans="1:4">
      <c r="A9" s="23">
        <v>2154</v>
      </c>
      <c r="B9" s="1" t="s">
        <v>2</v>
      </c>
      <c r="C9" s="2">
        <v>20000</v>
      </c>
      <c r="D9" s="2"/>
    </row>
    <row r="10" spans="1:4">
      <c r="A10" s="23">
        <v>2813</v>
      </c>
      <c r="B10" s="16" t="s">
        <v>59</v>
      </c>
      <c r="C10" s="2"/>
      <c r="D10" s="2">
        <f>AMORTISSEMENTS!E11</f>
        <v>15000</v>
      </c>
    </row>
    <row r="11" spans="1:4">
      <c r="A11" s="23">
        <v>2815</v>
      </c>
      <c r="B11" s="16" t="s">
        <v>72</v>
      </c>
      <c r="C11" s="2"/>
      <c r="D11" s="2">
        <f>AMORTISSEMENTS!E30</f>
        <v>3000</v>
      </c>
    </row>
    <row r="12" spans="1:4">
      <c r="A12" s="23">
        <v>31</v>
      </c>
      <c r="B12" s="1" t="s">
        <v>3</v>
      </c>
      <c r="C12" s="2">
        <v>5000</v>
      </c>
      <c r="D12" s="2"/>
    </row>
    <row r="13" spans="1:4">
      <c r="A13" s="23">
        <v>35</v>
      </c>
      <c r="B13" s="1" t="s">
        <v>4</v>
      </c>
      <c r="C13" s="2">
        <v>15000</v>
      </c>
      <c r="D13" s="2"/>
    </row>
    <row r="14" spans="1:4">
      <c r="A14" s="23">
        <v>39</v>
      </c>
      <c r="B14" s="16" t="s">
        <v>69</v>
      </c>
      <c r="C14" s="2"/>
      <c r="D14" s="2">
        <v>1000</v>
      </c>
    </row>
    <row r="15" spans="1:4">
      <c r="A15" s="23">
        <v>40</v>
      </c>
      <c r="B15" s="16" t="s">
        <v>9</v>
      </c>
      <c r="C15" s="2"/>
      <c r="D15" s="2">
        <v>51000</v>
      </c>
    </row>
    <row r="16" spans="1:4">
      <c r="A16" s="23">
        <v>41</v>
      </c>
      <c r="B16" s="1" t="s">
        <v>5</v>
      </c>
      <c r="C16" s="2">
        <v>35000</v>
      </c>
      <c r="D16" s="2"/>
    </row>
    <row r="17" spans="1:5">
      <c r="A17" s="23">
        <v>416</v>
      </c>
      <c r="B17" s="1" t="s">
        <v>6</v>
      </c>
      <c r="C17" s="2">
        <f>'CLTS DTX'!B6</f>
        <v>7500</v>
      </c>
      <c r="D17" s="2"/>
    </row>
    <row r="18" spans="1:5">
      <c r="A18" s="23">
        <v>491</v>
      </c>
      <c r="B18" s="16" t="s">
        <v>70</v>
      </c>
      <c r="C18" s="2"/>
      <c r="D18" s="2">
        <f>'CLTS DTX'!C6</f>
        <v>5000</v>
      </c>
    </row>
    <row r="19" spans="1:5">
      <c r="A19" s="23">
        <v>512</v>
      </c>
      <c r="B19" s="1" t="s">
        <v>7</v>
      </c>
      <c r="C19" s="2">
        <v>23450</v>
      </c>
      <c r="D19" s="2"/>
    </row>
    <row r="20" spans="1:5">
      <c r="C20" s="26">
        <f>SUM(C2:C19)</f>
        <v>175950</v>
      </c>
      <c r="D20" s="26">
        <f>SUM(D2:D19)</f>
        <v>171398.4375</v>
      </c>
      <c r="E20" s="2">
        <f>C20-D20</f>
        <v>4551.5625</v>
      </c>
    </row>
    <row r="22" spans="1:5">
      <c r="A22" s="23">
        <v>601</v>
      </c>
      <c r="B22" s="1" t="s">
        <v>93</v>
      </c>
      <c r="C22" s="3">
        <v>85000</v>
      </c>
      <c r="D22" s="3"/>
    </row>
    <row r="23" spans="1:5">
      <c r="A23" s="23">
        <v>615</v>
      </c>
      <c r="B23" s="1" t="s">
        <v>94</v>
      </c>
      <c r="C23" s="3">
        <v>10000</v>
      </c>
      <c r="D23" s="3"/>
    </row>
    <row r="24" spans="1:5">
      <c r="A24" s="23">
        <v>616</v>
      </c>
      <c r="B24" s="1" t="s">
        <v>95</v>
      </c>
      <c r="C24" s="3">
        <v>12000</v>
      </c>
      <c r="D24" s="3"/>
    </row>
    <row r="25" spans="1:5">
      <c r="A25" s="23">
        <v>63</v>
      </c>
      <c r="B25" s="1" t="s">
        <v>96</v>
      </c>
      <c r="C25" s="3">
        <v>2000</v>
      </c>
      <c r="D25" s="3"/>
    </row>
    <row r="26" spans="1:5">
      <c r="A26" s="23">
        <v>64</v>
      </c>
      <c r="B26" s="1" t="s">
        <v>97</v>
      </c>
      <c r="C26" s="3">
        <v>50000</v>
      </c>
      <c r="D26" s="3"/>
    </row>
    <row r="27" spans="1:5">
      <c r="A27" s="23">
        <v>66</v>
      </c>
      <c r="B27" s="1" t="s">
        <v>98</v>
      </c>
      <c r="C27" s="3">
        <v>6000</v>
      </c>
      <c r="D27" s="3"/>
    </row>
    <row r="28" spans="1:5">
      <c r="A28" s="23">
        <v>70</v>
      </c>
      <c r="B28" s="1" t="s">
        <v>99</v>
      </c>
      <c r="C28" s="3"/>
      <c r="D28" s="3">
        <v>169551.56</v>
      </c>
    </row>
    <row r="29" spans="1:5">
      <c r="C29" s="30">
        <f>SUM(C22:C28)</f>
        <v>165000</v>
      </c>
      <c r="D29" s="30">
        <f>SUM(D22:D28)</f>
        <v>169551.56</v>
      </c>
      <c r="E29" s="2">
        <f>C29-D29</f>
        <v>-4551.5599999999977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C20" sqref="C20"/>
    </sheetView>
  </sheetViews>
  <sheetFormatPr baseColWidth="10" defaultRowHeight="15"/>
  <cols>
    <col min="1" max="1" width="34.140625" customWidth="1"/>
    <col min="2" max="2" width="17.5703125" customWidth="1"/>
    <col min="3" max="3" width="24" customWidth="1"/>
    <col min="4" max="4" width="11.5703125" bestFit="1" customWidth="1"/>
  </cols>
  <sheetData>
    <row r="1" spans="1:4" ht="21">
      <c r="A1" s="28" t="s">
        <v>100</v>
      </c>
    </row>
    <row r="4" spans="1:4">
      <c r="A4" s="1" t="s">
        <v>101</v>
      </c>
      <c r="B4" s="13">
        <f>'BALANCE FIN 12'!C22</f>
        <v>85000</v>
      </c>
      <c r="C4" s="1" t="s">
        <v>109</v>
      </c>
      <c r="D4" s="13">
        <f>'BALANCE FIN 12'!D28</f>
        <v>169551.56</v>
      </c>
    </row>
    <row r="5" spans="1:4">
      <c r="A5" s="1" t="s">
        <v>102</v>
      </c>
      <c r="B5" s="1"/>
      <c r="C5" s="1" t="s">
        <v>64</v>
      </c>
      <c r="D5" s="1"/>
    </row>
    <row r="6" spans="1:4">
      <c r="A6" s="1" t="s">
        <v>103</v>
      </c>
      <c r="B6" s="13">
        <f>'BALANCE FIN 12'!C23+'BALANCE FIN 12'!C24</f>
        <v>22000</v>
      </c>
      <c r="C6" s="1"/>
      <c r="D6" s="1"/>
    </row>
    <row r="7" spans="1:4">
      <c r="A7" s="1" t="s">
        <v>96</v>
      </c>
      <c r="B7" s="13">
        <f>'BALANCE FIN 12'!C25</f>
        <v>2000</v>
      </c>
      <c r="C7" s="1"/>
      <c r="D7" s="1"/>
    </row>
    <row r="8" spans="1:4">
      <c r="A8" s="1" t="s">
        <v>104</v>
      </c>
      <c r="B8" s="13">
        <f>'BALANCE FIN 12'!C26</f>
        <v>50000</v>
      </c>
      <c r="C8" s="1"/>
      <c r="D8" s="1"/>
    </row>
    <row r="9" spans="1:4">
      <c r="A9" s="1" t="s">
        <v>105</v>
      </c>
      <c r="B9" s="1"/>
      <c r="C9" s="1"/>
      <c r="D9" s="1"/>
    </row>
    <row r="10" spans="1:4">
      <c r="A10" s="1" t="s">
        <v>106</v>
      </c>
      <c r="B10" s="1"/>
      <c r="C10" s="1"/>
      <c r="D10" s="1"/>
    </row>
    <row r="11" spans="1:4">
      <c r="A11" s="1" t="s">
        <v>107</v>
      </c>
      <c r="B11" s="1"/>
      <c r="C11" s="1"/>
      <c r="D11" s="1"/>
    </row>
    <row r="12" spans="1:4">
      <c r="A12" s="1"/>
      <c r="B12" s="1"/>
      <c r="C12" s="1"/>
      <c r="D12" s="1"/>
    </row>
    <row r="13" spans="1:4">
      <c r="A13" s="1" t="s">
        <v>108</v>
      </c>
      <c r="B13" s="1"/>
      <c r="C13" s="1"/>
      <c r="D13" s="1"/>
    </row>
    <row r="14" spans="1:4">
      <c r="A14" s="1" t="s">
        <v>98</v>
      </c>
      <c r="B14" s="13">
        <f>'BALANCE FIN 12'!C27</f>
        <v>6000</v>
      </c>
      <c r="C14" s="1"/>
      <c r="D14" s="1"/>
    </row>
    <row r="15" spans="1:4">
      <c r="A15" s="1" t="s">
        <v>110</v>
      </c>
      <c r="B15" s="13"/>
      <c r="C15" s="1"/>
      <c r="D15" s="1"/>
    </row>
    <row r="16" spans="1:4">
      <c r="A16" s="1" t="s">
        <v>111</v>
      </c>
      <c r="B16" s="13">
        <f>'BALANCE FIN 12'!E20</f>
        <v>4551.5625</v>
      </c>
      <c r="C16" s="1" t="s">
        <v>112</v>
      </c>
      <c r="D16" s="1"/>
    </row>
    <row r="17" spans="1:4">
      <c r="A17" s="1"/>
      <c r="B17" s="13">
        <f>SUM(B4:B16)</f>
        <v>169551.5625</v>
      </c>
      <c r="C17" s="1"/>
      <c r="D17" s="13">
        <f>SUM(D4:D16)</f>
        <v>169551.56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12" sqref="C12"/>
    </sheetView>
  </sheetViews>
  <sheetFormatPr baseColWidth="10" defaultRowHeight="15"/>
  <cols>
    <col min="1" max="1" width="32.42578125" customWidth="1"/>
    <col min="2" max="4" width="11.5703125" bestFit="1" customWidth="1"/>
    <col min="5" max="5" width="27" customWidth="1"/>
  </cols>
  <sheetData>
    <row r="1" spans="1:6" ht="21">
      <c r="A1" s="28" t="s">
        <v>92</v>
      </c>
    </row>
    <row r="2" spans="1:6">
      <c r="A2" s="1" t="s">
        <v>0</v>
      </c>
      <c r="B2" s="2">
        <v>20000</v>
      </c>
      <c r="C2" s="2"/>
      <c r="D2" s="2">
        <f>B2-C2</f>
        <v>20000</v>
      </c>
      <c r="E2" s="1" t="s">
        <v>55</v>
      </c>
      <c r="F2" s="2">
        <f>'BALANCE FIN 12'!D2</f>
        <v>90000</v>
      </c>
    </row>
    <row r="3" spans="1:6">
      <c r="A3" s="1" t="s">
        <v>1</v>
      </c>
      <c r="B3" s="2">
        <v>50000</v>
      </c>
      <c r="C3" s="2">
        <v>15000</v>
      </c>
      <c r="D3" s="2">
        <f t="shared" ref="D3:D10" si="0">B3-C3</f>
        <v>35000</v>
      </c>
      <c r="E3" s="1" t="s">
        <v>10</v>
      </c>
      <c r="F3" s="2">
        <f>'BALANCE FIN 12'!D3</f>
        <v>1000</v>
      </c>
    </row>
    <row r="4" spans="1:6">
      <c r="A4" s="1" t="s">
        <v>2</v>
      </c>
      <c r="B4" s="2">
        <v>20000</v>
      </c>
      <c r="C4" s="2">
        <v>3000</v>
      </c>
      <c r="D4" s="2">
        <f t="shared" si="0"/>
        <v>17000</v>
      </c>
      <c r="E4" s="1" t="s">
        <v>8</v>
      </c>
      <c r="F4" s="2">
        <f>'BALANCE FIN 12'!E20</f>
        <v>4551.5625</v>
      </c>
    </row>
    <row r="5" spans="1:6">
      <c r="A5" s="1" t="s">
        <v>3</v>
      </c>
      <c r="B5" s="2">
        <v>5000</v>
      </c>
      <c r="C5" s="2"/>
      <c r="D5" s="2">
        <f t="shared" si="0"/>
        <v>5000</v>
      </c>
      <c r="E5" s="1" t="s">
        <v>12</v>
      </c>
      <c r="F5" s="2">
        <f>AMORTISSEMENTS!M30</f>
        <v>5398.4375</v>
      </c>
    </row>
    <row r="6" spans="1:6">
      <c r="A6" s="1" t="s">
        <v>4</v>
      </c>
      <c r="B6" s="2">
        <v>15000</v>
      </c>
      <c r="C6" s="2">
        <v>1000</v>
      </c>
      <c r="D6" s="2">
        <f t="shared" si="0"/>
        <v>14000</v>
      </c>
      <c r="E6" s="1"/>
      <c r="F6" s="2"/>
    </row>
    <row r="7" spans="1:6">
      <c r="A7" s="1" t="s">
        <v>5</v>
      </c>
      <c r="B7" s="2">
        <f>'BALANCE FIN 12'!C16</f>
        <v>35000</v>
      </c>
      <c r="C7" s="2"/>
      <c r="D7" s="2">
        <f t="shared" si="0"/>
        <v>35000</v>
      </c>
      <c r="E7" s="1" t="s">
        <v>9</v>
      </c>
      <c r="F7" s="2">
        <f>'BALANCE FIN 12'!D15</f>
        <v>51000</v>
      </c>
    </row>
    <row r="8" spans="1:6">
      <c r="A8" s="1" t="s">
        <v>6</v>
      </c>
      <c r="B8" s="2">
        <f>'CLTS DTX'!B6</f>
        <v>7500</v>
      </c>
      <c r="C8" s="2">
        <f>'CLTS DTX'!C6</f>
        <v>5000</v>
      </c>
      <c r="D8" s="2">
        <f t="shared" si="0"/>
        <v>2500</v>
      </c>
      <c r="E8" s="1"/>
      <c r="F8" s="2"/>
    </row>
    <row r="9" spans="1:6">
      <c r="A9" s="1" t="s">
        <v>7</v>
      </c>
      <c r="B9" s="2">
        <f>'BALANCE FIN 12'!C19</f>
        <v>23450</v>
      </c>
      <c r="C9" s="2"/>
      <c r="D9" s="2">
        <f t="shared" si="0"/>
        <v>23450</v>
      </c>
      <c r="E9" s="1"/>
      <c r="F9" s="2"/>
    </row>
    <row r="10" spans="1:6">
      <c r="A10" s="1"/>
      <c r="B10" s="2"/>
      <c r="C10" s="2"/>
      <c r="D10" s="2">
        <f t="shared" si="0"/>
        <v>0</v>
      </c>
      <c r="E10" s="1"/>
      <c r="F10" s="2"/>
    </row>
    <row r="11" spans="1:6">
      <c r="A11" s="1" t="s">
        <v>11</v>
      </c>
      <c r="B11" s="2">
        <f>SUM(B2:B10)</f>
        <v>175950</v>
      </c>
      <c r="C11" s="2">
        <f t="shared" ref="C11:D11" si="1">SUM(C2:C10)</f>
        <v>24000</v>
      </c>
      <c r="D11" s="2">
        <f t="shared" si="1"/>
        <v>151950</v>
      </c>
      <c r="E11" s="1" t="s">
        <v>11</v>
      </c>
      <c r="F11" s="2">
        <f>SUM(F2:F10)</f>
        <v>151950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6"/>
  <sheetViews>
    <sheetView topLeftCell="A23" workbookViewId="0">
      <selection activeCell="L28" sqref="L28"/>
    </sheetView>
  </sheetViews>
  <sheetFormatPr baseColWidth="10" defaultRowHeight="15"/>
  <cols>
    <col min="1" max="1" width="8.42578125" customWidth="1"/>
    <col min="2" max="2" width="13" customWidth="1"/>
    <col min="4" max="4" width="10.7109375" customWidth="1"/>
    <col min="5" max="5" width="11.28515625" customWidth="1"/>
    <col min="6" max="6" width="3.7109375" customWidth="1"/>
    <col min="7" max="7" width="7.28515625" customWidth="1"/>
    <col min="8" max="8" width="10.42578125" customWidth="1"/>
    <col min="9" max="9" width="10.7109375" customWidth="1"/>
    <col min="10" max="10" width="10.85546875" customWidth="1"/>
    <col min="12" max="12" width="12.140625" customWidth="1"/>
    <col min="13" max="13" width="10.7109375" customWidth="1"/>
  </cols>
  <sheetData>
    <row r="1" spans="1:5" ht="18.75">
      <c r="A1" s="6" t="s">
        <v>36</v>
      </c>
    </row>
    <row r="3" spans="1:5">
      <c r="A3" t="s">
        <v>13</v>
      </c>
      <c r="C3" t="s">
        <v>19</v>
      </c>
    </row>
    <row r="5" spans="1:5">
      <c r="A5" t="s">
        <v>20</v>
      </c>
      <c r="B5">
        <f>100/5</f>
        <v>20</v>
      </c>
    </row>
    <row r="6" spans="1:5">
      <c r="A6" t="s">
        <v>21</v>
      </c>
      <c r="B6" t="s">
        <v>22</v>
      </c>
      <c r="C6">
        <f>50000/5</f>
        <v>10000</v>
      </c>
    </row>
    <row r="7" spans="1:5">
      <c r="A7" t="s">
        <v>30</v>
      </c>
      <c r="C7" t="s">
        <v>31</v>
      </c>
    </row>
    <row r="8" spans="1:5">
      <c r="C8">
        <f>5000</f>
        <v>5000</v>
      </c>
    </row>
    <row r="9" spans="1:5" ht="30">
      <c r="A9" s="3" t="s">
        <v>23</v>
      </c>
      <c r="B9" s="3" t="s">
        <v>32</v>
      </c>
      <c r="C9" s="3" t="s">
        <v>33</v>
      </c>
      <c r="D9" s="3" t="s">
        <v>34</v>
      </c>
      <c r="E9" s="4" t="s">
        <v>35</v>
      </c>
    </row>
    <row r="10" spans="1:5">
      <c r="A10" s="2" t="s">
        <v>24</v>
      </c>
      <c r="B10" s="2">
        <v>50000</v>
      </c>
      <c r="C10" s="2">
        <v>5000</v>
      </c>
      <c r="D10" s="2">
        <f>B10-C10</f>
        <v>45000</v>
      </c>
      <c r="E10" s="2">
        <f>C10</f>
        <v>5000</v>
      </c>
    </row>
    <row r="11" spans="1:5">
      <c r="A11" s="2" t="s">
        <v>25</v>
      </c>
      <c r="B11" s="2">
        <f>D10</f>
        <v>45000</v>
      </c>
      <c r="C11" s="2">
        <v>10000</v>
      </c>
      <c r="D11" s="2">
        <f t="shared" ref="D11:D15" si="0">B11-C11</f>
        <v>35000</v>
      </c>
      <c r="E11" s="5">
        <f>C11+E10</f>
        <v>15000</v>
      </c>
    </row>
    <row r="12" spans="1:5">
      <c r="A12" s="2" t="s">
        <v>26</v>
      </c>
      <c r="B12" s="2">
        <f t="shared" ref="B12:B15" si="1">D11</f>
        <v>35000</v>
      </c>
      <c r="C12" s="5">
        <v>10000</v>
      </c>
      <c r="D12" s="2">
        <f t="shared" si="0"/>
        <v>25000</v>
      </c>
      <c r="E12" s="2">
        <f t="shared" ref="E12:E15" si="2">C12+E11</f>
        <v>25000</v>
      </c>
    </row>
    <row r="13" spans="1:5">
      <c r="A13" s="2" t="s">
        <v>27</v>
      </c>
      <c r="B13" s="2">
        <f t="shared" si="1"/>
        <v>25000</v>
      </c>
      <c r="C13" s="2">
        <v>10000</v>
      </c>
      <c r="D13" s="2">
        <f t="shared" si="0"/>
        <v>15000</v>
      </c>
      <c r="E13" s="2">
        <f t="shared" si="2"/>
        <v>35000</v>
      </c>
    </row>
    <row r="14" spans="1:5">
      <c r="A14" s="2" t="s">
        <v>28</v>
      </c>
      <c r="B14" s="2">
        <f t="shared" si="1"/>
        <v>15000</v>
      </c>
      <c r="C14" s="2">
        <v>10000</v>
      </c>
      <c r="D14" s="2">
        <f t="shared" si="0"/>
        <v>5000</v>
      </c>
      <c r="E14" s="2">
        <f t="shared" si="2"/>
        <v>45000</v>
      </c>
    </row>
    <row r="15" spans="1:5">
      <c r="A15" s="2" t="s">
        <v>29</v>
      </c>
      <c r="B15" s="2">
        <f t="shared" si="1"/>
        <v>5000</v>
      </c>
      <c r="C15" s="2">
        <v>5000</v>
      </c>
      <c r="D15" s="2">
        <f t="shared" si="0"/>
        <v>0</v>
      </c>
      <c r="E15" s="2">
        <f t="shared" si="2"/>
        <v>50000</v>
      </c>
    </row>
    <row r="17" spans="1:13" ht="18.75">
      <c r="A17" s="6" t="s">
        <v>37</v>
      </c>
      <c r="B17" t="s">
        <v>38</v>
      </c>
    </row>
    <row r="19" spans="1:13">
      <c r="A19" t="s">
        <v>41</v>
      </c>
    </row>
    <row r="20" spans="1:13">
      <c r="A20" t="s">
        <v>43</v>
      </c>
      <c r="C20">
        <f>100/10</f>
        <v>10</v>
      </c>
    </row>
    <row r="21" spans="1:13">
      <c r="A21" t="s">
        <v>44</v>
      </c>
      <c r="C21">
        <f>20000/10</f>
        <v>2000</v>
      </c>
    </row>
    <row r="22" spans="1:13">
      <c r="A22" t="s">
        <v>45</v>
      </c>
      <c r="B22" t="s">
        <v>46</v>
      </c>
      <c r="C22">
        <v>1000</v>
      </c>
    </row>
    <row r="24" spans="1:13">
      <c r="A24" t="s">
        <v>42</v>
      </c>
    </row>
    <row r="25" spans="1:13">
      <c r="A25" t="s">
        <v>47</v>
      </c>
      <c r="C25">
        <f>100/8</f>
        <v>12.5</v>
      </c>
    </row>
    <row r="26" spans="1:13">
      <c r="A26" t="s">
        <v>48</v>
      </c>
      <c r="C26">
        <f>12.5*2.5</f>
        <v>31.25</v>
      </c>
    </row>
    <row r="28" spans="1:13" ht="30">
      <c r="A28" s="3" t="s">
        <v>23</v>
      </c>
      <c r="B28" s="3" t="s">
        <v>32</v>
      </c>
      <c r="C28" s="3" t="s">
        <v>33</v>
      </c>
      <c r="D28" s="3" t="s">
        <v>34</v>
      </c>
      <c r="E28" s="4" t="s">
        <v>35</v>
      </c>
      <c r="G28" s="3" t="s">
        <v>23</v>
      </c>
      <c r="H28" s="3" t="s">
        <v>32</v>
      </c>
      <c r="I28" s="3" t="s">
        <v>33</v>
      </c>
      <c r="J28" s="3" t="s">
        <v>34</v>
      </c>
      <c r="K28" s="10" t="s">
        <v>35</v>
      </c>
      <c r="L28" s="27" t="s">
        <v>54</v>
      </c>
      <c r="M28" s="1"/>
    </row>
    <row r="29" spans="1:13">
      <c r="A29" s="2" t="s">
        <v>24</v>
      </c>
      <c r="B29" s="2">
        <v>20000</v>
      </c>
      <c r="C29" s="2">
        <v>1000</v>
      </c>
      <c r="D29" s="2">
        <f>B29-C29</f>
        <v>19000</v>
      </c>
      <c r="E29" s="2">
        <f>C29</f>
        <v>1000</v>
      </c>
      <c r="G29" s="2" t="s">
        <v>24</v>
      </c>
      <c r="H29" s="2">
        <v>20000</v>
      </c>
      <c r="I29" s="2">
        <f>H29*C26%/2</f>
        <v>3125</v>
      </c>
      <c r="J29" s="2">
        <f>H29-I29</f>
        <v>16875</v>
      </c>
      <c r="K29" s="11">
        <f>I29</f>
        <v>3125</v>
      </c>
      <c r="L29" s="13">
        <f>I29-C29</f>
        <v>2125</v>
      </c>
      <c r="M29" s="1"/>
    </row>
    <row r="30" spans="1:13">
      <c r="A30" s="2" t="s">
        <v>25</v>
      </c>
      <c r="B30" s="2">
        <f>D29</f>
        <v>19000</v>
      </c>
      <c r="C30" s="2">
        <v>2000</v>
      </c>
      <c r="D30" s="2">
        <f t="shared" ref="D30:D39" si="3">B30-C30</f>
        <v>17000</v>
      </c>
      <c r="E30" s="5">
        <f>C30+E29</f>
        <v>3000</v>
      </c>
      <c r="G30" s="2" t="s">
        <v>25</v>
      </c>
      <c r="H30" s="2">
        <f>J29</f>
        <v>16875</v>
      </c>
      <c r="I30" s="2">
        <f>H30*$C$26%</f>
        <v>5273.4375</v>
      </c>
      <c r="J30" s="2">
        <f t="shared" ref="J30:J36" si="4">H30-I30</f>
        <v>11601.5625</v>
      </c>
      <c r="K30" s="12">
        <f>I30+K29</f>
        <v>8398.4375</v>
      </c>
      <c r="L30" s="13">
        <f t="shared" ref="L30:L39" si="5">I30-C30</f>
        <v>3273.4375</v>
      </c>
      <c r="M30" s="14">
        <f>L30+L29</f>
        <v>5398.4375</v>
      </c>
    </row>
    <row r="31" spans="1:13">
      <c r="A31" s="2" t="s">
        <v>26</v>
      </c>
      <c r="B31" s="2">
        <f t="shared" ref="B31:B39" si="6">D30</f>
        <v>17000</v>
      </c>
      <c r="C31" s="5">
        <v>2000</v>
      </c>
      <c r="D31" s="2">
        <f t="shared" si="3"/>
        <v>15000</v>
      </c>
      <c r="E31" s="2">
        <f t="shared" ref="E31:E39" si="7">C31+E30</f>
        <v>5000</v>
      </c>
      <c r="G31" s="2" t="s">
        <v>26</v>
      </c>
      <c r="H31" s="2">
        <f t="shared" ref="H31:H36" si="8">J30</f>
        <v>11601.5625</v>
      </c>
      <c r="I31" s="2">
        <f t="shared" ref="I31:I33" si="9">H31*$C$26%</f>
        <v>3625.48828125</v>
      </c>
      <c r="J31" s="2">
        <f t="shared" si="4"/>
        <v>7976.07421875</v>
      </c>
      <c r="K31" s="11">
        <f t="shared" ref="K31:K36" si="10">I31+K30</f>
        <v>12023.92578125</v>
      </c>
      <c r="L31" s="14">
        <f t="shared" si="5"/>
        <v>1625.48828125</v>
      </c>
      <c r="M31" s="15">
        <f>L31+M30</f>
        <v>7023.92578125</v>
      </c>
    </row>
    <row r="32" spans="1:13">
      <c r="A32" s="2" t="s">
        <v>27</v>
      </c>
      <c r="B32" s="2">
        <f t="shared" si="6"/>
        <v>15000</v>
      </c>
      <c r="C32" s="2">
        <v>2000</v>
      </c>
      <c r="D32" s="2">
        <f t="shared" si="3"/>
        <v>13000</v>
      </c>
      <c r="E32" s="2">
        <f t="shared" si="7"/>
        <v>7000</v>
      </c>
      <c r="G32" s="2" t="s">
        <v>27</v>
      </c>
      <c r="H32" s="2">
        <f t="shared" si="8"/>
        <v>7976.07421875</v>
      </c>
      <c r="I32" s="2">
        <f t="shared" si="9"/>
        <v>2492.523193359375</v>
      </c>
      <c r="J32" s="2">
        <f t="shared" si="4"/>
        <v>5483.551025390625</v>
      </c>
      <c r="K32" s="11">
        <f t="shared" si="10"/>
        <v>14516.448974609375</v>
      </c>
      <c r="L32" s="13">
        <f t="shared" si="5"/>
        <v>492.523193359375</v>
      </c>
      <c r="M32" s="15">
        <f t="shared" ref="M32:M39" si="11">L32+M31</f>
        <v>7516.448974609375</v>
      </c>
    </row>
    <row r="33" spans="1:13">
      <c r="A33" s="2" t="s">
        <v>28</v>
      </c>
      <c r="B33" s="2">
        <f t="shared" si="6"/>
        <v>13000</v>
      </c>
      <c r="C33" s="7">
        <v>2000</v>
      </c>
      <c r="D33" s="2">
        <f t="shared" si="3"/>
        <v>11000</v>
      </c>
      <c r="E33" s="2">
        <f t="shared" si="7"/>
        <v>9000</v>
      </c>
      <c r="G33" s="2" t="s">
        <v>28</v>
      </c>
      <c r="H33" s="2">
        <f t="shared" si="8"/>
        <v>5483.551025390625</v>
      </c>
      <c r="I33" s="2">
        <f t="shared" si="9"/>
        <v>1713.6096954345703</v>
      </c>
      <c r="J33" s="2">
        <f t="shared" si="4"/>
        <v>3769.9413299560547</v>
      </c>
      <c r="K33" s="11">
        <f t="shared" si="10"/>
        <v>16230.058670043945</v>
      </c>
      <c r="L33" s="13">
        <f t="shared" si="5"/>
        <v>-286.39030456542969</v>
      </c>
      <c r="M33" s="15">
        <f t="shared" si="11"/>
        <v>7230.0586700439453</v>
      </c>
    </row>
    <row r="34" spans="1:13">
      <c r="A34" s="2" t="s">
        <v>29</v>
      </c>
      <c r="B34" s="2">
        <f t="shared" si="6"/>
        <v>11000</v>
      </c>
      <c r="C34" s="7">
        <v>2000</v>
      </c>
      <c r="D34" s="2">
        <f t="shared" si="3"/>
        <v>9000</v>
      </c>
      <c r="E34" s="2">
        <f t="shared" si="7"/>
        <v>11000</v>
      </c>
      <c r="G34" s="2" t="s">
        <v>29</v>
      </c>
      <c r="H34" s="2">
        <f t="shared" si="8"/>
        <v>3769.9413299560547</v>
      </c>
      <c r="I34" s="2">
        <f>H34*33.33%</f>
        <v>1256.521445274353</v>
      </c>
      <c r="J34" s="2">
        <f t="shared" si="4"/>
        <v>2513.4198846817017</v>
      </c>
      <c r="K34" s="11">
        <f t="shared" si="10"/>
        <v>17486.580115318298</v>
      </c>
      <c r="L34" s="13">
        <f t="shared" si="5"/>
        <v>-743.47855472564697</v>
      </c>
      <c r="M34" s="15">
        <f t="shared" si="11"/>
        <v>6486.5801153182983</v>
      </c>
    </row>
    <row r="35" spans="1:13">
      <c r="A35" s="2" t="s">
        <v>49</v>
      </c>
      <c r="B35" s="2">
        <f t="shared" si="6"/>
        <v>9000</v>
      </c>
      <c r="C35" s="7">
        <v>2000</v>
      </c>
      <c r="D35" s="2">
        <f t="shared" si="3"/>
        <v>7000</v>
      </c>
      <c r="E35" s="2">
        <f t="shared" si="7"/>
        <v>13000</v>
      </c>
      <c r="G35" s="2" t="s">
        <v>49</v>
      </c>
      <c r="H35" s="2">
        <f t="shared" si="8"/>
        <v>2513.4198846817017</v>
      </c>
      <c r="I35" s="2">
        <f>H35*50%</f>
        <v>1256.7099423408508</v>
      </c>
      <c r="J35" s="2">
        <f t="shared" si="4"/>
        <v>1256.7099423408508</v>
      </c>
      <c r="K35" s="11">
        <f t="shared" si="10"/>
        <v>18743.290057659149</v>
      </c>
      <c r="L35" s="13">
        <f t="shared" si="5"/>
        <v>-743.29005765914917</v>
      </c>
      <c r="M35" s="15">
        <f t="shared" si="11"/>
        <v>5743.2900576591492</v>
      </c>
    </row>
    <row r="36" spans="1:13">
      <c r="A36" s="2" t="s">
        <v>50</v>
      </c>
      <c r="B36" s="2">
        <f t="shared" si="6"/>
        <v>7000</v>
      </c>
      <c r="C36" s="7">
        <v>2000</v>
      </c>
      <c r="D36" s="2">
        <f t="shared" si="3"/>
        <v>5000</v>
      </c>
      <c r="E36" s="2">
        <f t="shared" si="7"/>
        <v>15000</v>
      </c>
      <c r="G36" s="2" t="s">
        <v>50</v>
      </c>
      <c r="H36" s="2">
        <f t="shared" si="8"/>
        <v>1256.7099423408508</v>
      </c>
      <c r="I36" s="2">
        <f>H36*100%</f>
        <v>1256.7099423408508</v>
      </c>
      <c r="J36" s="2">
        <f t="shared" si="4"/>
        <v>0</v>
      </c>
      <c r="K36" s="11">
        <f t="shared" si="10"/>
        <v>20000</v>
      </c>
      <c r="L36" s="13">
        <f t="shared" si="5"/>
        <v>-743.29005765914917</v>
      </c>
      <c r="M36" s="15">
        <f t="shared" si="11"/>
        <v>5000</v>
      </c>
    </row>
    <row r="37" spans="1:13">
      <c r="A37" s="2" t="s">
        <v>51</v>
      </c>
      <c r="B37" s="2">
        <f t="shared" si="6"/>
        <v>5000</v>
      </c>
      <c r="C37" s="7">
        <v>2000</v>
      </c>
      <c r="D37" s="2">
        <f t="shared" si="3"/>
        <v>3000</v>
      </c>
      <c r="E37" s="2">
        <f t="shared" si="7"/>
        <v>17000</v>
      </c>
      <c r="L37" s="13">
        <f t="shared" si="5"/>
        <v>-2000</v>
      </c>
      <c r="M37" s="15">
        <f t="shared" si="11"/>
        <v>3000</v>
      </c>
    </row>
    <row r="38" spans="1:13">
      <c r="A38" s="2" t="s">
        <v>52</v>
      </c>
      <c r="B38" s="2">
        <f t="shared" si="6"/>
        <v>3000</v>
      </c>
      <c r="C38" s="7">
        <v>2000</v>
      </c>
      <c r="D38" s="2">
        <f t="shared" si="3"/>
        <v>1000</v>
      </c>
      <c r="E38" s="2">
        <f t="shared" si="7"/>
        <v>19000</v>
      </c>
      <c r="L38" s="13">
        <f t="shared" si="5"/>
        <v>-2000</v>
      </c>
      <c r="M38" s="15">
        <f t="shared" si="11"/>
        <v>1000</v>
      </c>
    </row>
    <row r="39" spans="1:13">
      <c r="A39" s="2" t="s">
        <v>53</v>
      </c>
      <c r="B39" s="2">
        <f t="shared" si="6"/>
        <v>1000</v>
      </c>
      <c r="C39" s="8">
        <v>1000</v>
      </c>
      <c r="D39" s="2">
        <f t="shared" si="3"/>
        <v>0</v>
      </c>
      <c r="E39" s="2">
        <f t="shared" si="7"/>
        <v>20000</v>
      </c>
      <c r="L39" s="13">
        <f t="shared" si="5"/>
        <v>-1000</v>
      </c>
      <c r="M39" s="15">
        <f t="shared" si="11"/>
        <v>0</v>
      </c>
    </row>
    <row r="40" spans="1:13">
      <c r="L40" s="9">
        <f>SUM(L29:L39)</f>
        <v>0</v>
      </c>
    </row>
    <row r="41" spans="1:13">
      <c r="A41" s="18">
        <v>681</v>
      </c>
      <c r="B41" t="s">
        <v>58</v>
      </c>
      <c r="D41" s="17">
        <v>10000</v>
      </c>
    </row>
    <row r="42" spans="1:13">
      <c r="A42">
        <v>2813</v>
      </c>
      <c r="C42" t="s">
        <v>59</v>
      </c>
      <c r="E42" s="17">
        <v>10000</v>
      </c>
    </row>
    <row r="43" spans="1:13">
      <c r="A43" s="18">
        <v>681</v>
      </c>
      <c r="B43" t="s">
        <v>58</v>
      </c>
      <c r="D43">
        <v>2000</v>
      </c>
    </row>
    <row r="44" spans="1:13">
      <c r="A44">
        <v>2815</v>
      </c>
      <c r="C44" t="s">
        <v>60</v>
      </c>
      <c r="E44">
        <v>2000</v>
      </c>
    </row>
    <row r="45" spans="1:13">
      <c r="A45" s="18">
        <v>687</v>
      </c>
      <c r="B45" t="s">
        <v>61</v>
      </c>
      <c r="D45" s="9">
        <f>L31</f>
        <v>1625.48828125</v>
      </c>
    </row>
    <row r="46" spans="1:13">
      <c r="A46">
        <v>15</v>
      </c>
      <c r="B46" t="s">
        <v>62</v>
      </c>
      <c r="E46" s="9">
        <f>L31</f>
        <v>1625.48828125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23" sqref="D23"/>
    </sheetView>
  </sheetViews>
  <sheetFormatPr baseColWidth="10" defaultRowHeight="15"/>
  <cols>
    <col min="1" max="1" width="23.85546875" customWidth="1"/>
    <col min="2" max="2" width="21.85546875" customWidth="1"/>
    <col min="3" max="3" width="18.7109375" customWidth="1"/>
    <col min="4" max="4" width="11" customWidth="1"/>
  </cols>
  <sheetData>
    <row r="2" spans="1:10">
      <c r="A2" t="s">
        <v>56</v>
      </c>
    </row>
    <row r="4" spans="1:10">
      <c r="A4" s="1" t="s">
        <v>3</v>
      </c>
      <c r="B4" s="2">
        <v>4500</v>
      </c>
      <c r="G4" s="19"/>
      <c r="H4" s="22"/>
      <c r="I4" s="22"/>
      <c r="J4" s="19"/>
    </row>
    <row r="5" spans="1:10">
      <c r="A5" s="1" t="s">
        <v>4</v>
      </c>
      <c r="B5" s="2">
        <v>20000</v>
      </c>
      <c r="G5" s="19"/>
      <c r="H5" s="22"/>
      <c r="I5" s="22"/>
      <c r="J5" s="19"/>
    </row>
    <row r="6" spans="1:10">
      <c r="A6" s="16" t="s">
        <v>57</v>
      </c>
      <c r="B6" s="2">
        <v>2000</v>
      </c>
      <c r="G6" s="19"/>
      <c r="H6" s="19"/>
      <c r="I6" s="19"/>
      <c r="J6" s="19"/>
    </row>
    <row r="7" spans="1:10">
      <c r="G7" s="19"/>
      <c r="H7" s="19"/>
      <c r="I7" s="19"/>
      <c r="J7" s="19"/>
    </row>
    <row r="9" spans="1:10">
      <c r="A9">
        <v>31</v>
      </c>
      <c r="B9" s="19" t="s">
        <v>3</v>
      </c>
      <c r="E9" s="9">
        <f>D10</f>
        <v>5000</v>
      </c>
    </row>
    <row r="10" spans="1:10">
      <c r="A10">
        <v>603</v>
      </c>
      <c r="B10" s="19"/>
      <c r="C10" t="s">
        <v>63</v>
      </c>
      <c r="D10" s="9">
        <f>'bilan 12'!B5</f>
        <v>5000</v>
      </c>
    </row>
    <row r="11" spans="1:10">
      <c r="A11">
        <v>35</v>
      </c>
      <c r="B11" s="19" t="s">
        <v>4</v>
      </c>
      <c r="E11" s="9">
        <f>'bilan 12'!B6</f>
        <v>15000</v>
      </c>
    </row>
    <row r="12" spans="1:10">
      <c r="A12">
        <v>71</v>
      </c>
      <c r="B12" s="19"/>
      <c r="C12" t="s">
        <v>64</v>
      </c>
      <c r="D12" s="9">
        <f>E11</f>
        <v>15000</v>
      </c>
    </row>
    <row r="13" spans="1:10">
      <c r="A13">
        <v>39</v>
      </c>
      <c r="B13" s="19" t="s">
        <v>65</v>
      </c>
      <c r="D13" s="9">
        <f>'bilan 12'!C6</f>
        <v>1000</v>
      </c>
    </row>
    <row r="14" spans="1:10">
      <c r="A14">
        <v>781</v>
      </c>
      <c r="B14" s="19"/>
      <c r="C14" t="s">
        <v>66</v>
      </c>
      <c r="E14" s="9">
        <f>D13</f>
        <v>1000</v>
      </c>
    </row>
    <row r="15" spans="1:10">
      <c r="A15">
        <v>31</v>
      </c>
      <c r="B15" s="19" t="s">
        <v>3</v>
      </c>
      <c r="D15" s="9">
        <f>B4</f>
        <v>4500</v>
      </c>
    </row>
    <row r="16" spans="1:10">
      <c r="A16">
        <v>603</v>
      </c>
      <c r="B16" s="19"/>
      <c r="C16" t="s">
        <v>63</v>
      </c>
      <c r="E16" s="9">
        <f>D15</f>
        <v>4500</v>
      </c>
    </row>
    <row r="17" spans="1:5">
      <c r="A17">
        <v>35</v>
      </c>
      <c r="B17" s="19" t="s">
        <v>4</v>
      </c>
      <c r="D17" s="9">
        <f>B5</f>
        <v>20000</v>
      </c>
    </row>
    <row r="18" spans="1:5">
      <c r="A18">
        <v>71</v>
      </c>
      <c r="B18" s="19"/>
      <c r="C18" t="s">
        <v>64</v>
      </c>
      <c r="E18" s="9">
        <f>D17</f>
        <v>20000</v>
      </c>
    </row>
    <row r="19" spans="1:5">
      <c r="A19">
        <v>681</v>
      </c>
      <c r="B19" s="19" t="s">
        <v>73</v>
      </c>
      <c r="D19" s="9">
        <f>B6</f>
        <v>2000</v>
      </c>
    </row>
    <row r="20" spans="1:5">
      <c r="A20">
        <v>39</v>
      </c>
      <c r="B20" s="19"/>
      <c r="C20" t="s">
        <v>65</v>
      </c>
      <c r="E20" s="9">
        <f>D19</f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baseColWidth="10" defaultRowHeight="15"/>
  <cols>
    <col min="1" max="1" width="14.140625" customWidth="1"/>
    <col min="2" max="2" width="15.28515625" customWidth="1"/>
    <col min="3" max="3" width="17.140625" customWidth="1"/>
    <col min="4" max="4" width="18.140625" customWidth="1"/>
    <col min="5" max="5" width="25.140625" customWidth="1"/>
  </cols>
  <sheetData>
    <row r="1" spans="1:5" ht="21">
      <c r="A1" s="28" t="s">
        <v>74</v>
      </c>
    </row>
    <row r="3" spans="1:5" ht="45">
      <c r="A3" s="1"/>
      <c r="B3" s="1" t="s">
        <v>77</v>
      </c>
      <c r="C3" s="1" t="s">
        <v>78</v>
      </c>
      <c r="D3" s="24" t="s">
        <v>79</v>
      </c>
      <c r="E3" s="1" t="s">
        <v>80</v>
      </c>
    </row>
    <row r="4" spans="1:5">
      <c r="A4" s="1" t="s">
        <v>75</v>
      </c>
      <c r="B4" s="23">
        <v>2500</v>
      </c>
      <c r="C4" s="23">
        <v>1000</v>
      </c>
      <c r="D4" s="23">
        <v>1200</v>
      </c>
      <c r="E4" s="1" t="s">
        <v>81</v>
      </c>
    </row>
    <row r="5" spans="1:5">
      <c r="A5" s="1" t="s">
        <v>76</v>
      </c>
      <c r="B5" s="23">
        <v>5000</v>
      </c>
      <c r="C5" s="23">
        <v>4000</v>
      </c>
      <c r="D5" s="23">
        <v>4500</v>
      </c>
      <c r="E5" s="1" t="s">
        <v>82</v>
      </c>
    </row>
    <row r="6" spans="1:5">
      <c r="A6" s="25" t="s">
        <v>11</v>
      </c>
      <c r="B6" s="23">
        <f>SUM(B4:B5)</f>
        <v>7500</v>
      </c>
      <c r="C6" s="23">
        <f>SUM(C4:C5)</f>
        <v>5000</v>
      </c>
      <c r="D6" s="23"/>
      <c r="E6" s="1"/>
    </row>
    <row r="9" spans="1:5">
      <c r="A9" s="18">
        <v>675</v>
      </c>
      <c r="B9" t="s">
        <v>85</v>
      </c>
      <c r="D9">
        <v>1300</v>
      </c>
    </row>
    <row r="10" spans="1:5">
      <c r="A10">
        <v>416</v>
      </c>
      <c r="C10" t="s">
        <v>84</v>
      </c>
      <c r="E10">
        <v>1300</v>
      </c>
    </row>
    <row r="12" spans="1:5">
      <c r="A12" s="18">
        <v>491</v>
      </c>
      <c r="B12" t="s">
        <v>86</v>
      </c>
      <c r="D12">
        <v>1000</v>
      </c>
    </row>
    <row r="13" spans="1:5">
      <c r="A13">
        <v>781</v>
      </c>
      <c r="C13" t="s">
        <v>66</v>
      </c>
      <c r="E13">
        <v>1000</v>
      </c>
    </row>
    <row r="15" spans="1:5">
      <c r="A15" s="18">
        <v>491</v>
      </c>
      <c r="B15" t="s">
        <v>87</v>
      </c>
      <c r="D15">
        <v>3500</v>
      </c>
    </row>
    <row r="16" spans="1:5">
      <c r="A16">
        <v>781</v>
      </c>
      <c r="C16" t="s">
        <v>66</v>
      </c>
      <c r="E16">
        <v>3500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D30" sqref="D30"/>
    </sheetView>
  </sheetViews>
  <sheetFormatPr baseColWidth="10" defaultRowHeight="15"/>
  <cols>
    <col min="1" max="1" width="25" customWidth="1"/>
    <col min="3" max="3" width="19.5703125" customWidth="1"/>
    <col min="4" max="4" width="14.5703125" customWidth="1"/>
  </cols>
  <sheetData>
    <row r="1" spans="1:7" ht="21">
      <c r="A1" s="28" t="s">
        <v>113</v>
      </c>
    </row>
    <row r="2" spans="1:7">
      <c r="A2" s="1" t="s">
        <v>0</v>
      </c>
      <c r="B2" s="2">
        <v>20000</v>
      </c>
      <c r="C2" s="2"/>
      <c r="D2" s="2">
        <f>B2-C2</f>
        <v>20000</v>
      </c>
      <c r="E2" s="1" t="s">
        <v>55</v>
      </c>
      <c r="F2" s="2">
        <f>'BALANCE FIN 12'!D2</f>
        <v>90000</v>
      </c>
    </row>
    <row r="3" spans="1:7">
      <c r="A3" s="1" t="s">
        <v>1</v>
      </c>
      <c r="B3" s="2">
        <v>50000</v>
      </c>
      <c r="C3" s="2">
        <v>25000</v>
      </c>
      <c r="D3" s="2">
        <f t="shared" ref="D3:D10" si="0">B3-C3</f>
        <v>25000</v>
      </c>
      <c r="E3" s="1" t="s">
        <v>10</v>
      </c>
      <c r="F3" s="2">
        <f>'BALANCE FIN 12'!D3</f>
        <v>1000</v>
      </c>
    </row>
    <row r="4" spans="1:7">
      <c r="A4" s="1" t="s">
        <v>2</v>
      </c>
      <c r="B4" s="2">
        <v>20000</v>
      </c>
      <c r="C4" s="2">
        <v>5000</v>
      </c>
      <c r="D4" s="2">
        <f t="shared" si="0"/>
        <v>15000</v>
      </c>
      <c r="E4" s="1" t="s">
        <v>8</v>
      </c>
      <c r="F4" s="2">
        <v>-2373.9299999999998</v>
      </c>
      <c r="G4" s="9">
        <f>F11-D11</f>
        <v>-4.2187499930150807E-3</v>
      </c>
    </row>
    <row r="5" spans="1:7">
      <c r="A5" s="1" t="s">
        <v>3</v>
      </c>
      <c r="B5" s="2">
        <f>STOCKS!B4</f>
        <v>4500</v>
      </c>
      <c r="C5" s="2"/>
      <c r="D5" s="2">
        <f t="shared" si="0"/>
        <v>4500</v>
      </c>
      <c r="E5" s="1" t="s">
        <v>12</v>
      </c>
      <c r="F5" s="2">
        <f>AMORTISSEMENTS!M31</f>
        <v>7023.92578125</v>
      </c>
    </row>
    <row r="6" spans="1:7">
      <c r="A6" s="1" t="s">
        <v>4</v>
      </c>
      <c r="B6" s="2">
        <f>STOCKS!B5</f>
        <v>20000</v>
      </c>
      <c r="C6" s="2">
        <f>STOCKS!B6</f>
        <v>2000</v>
      </c>
      <c r="D6" s="2">
        <f t="shared" si="0"/>
        <v>18000</v>
      </c>
      <c r="E6" s="1"/>
      <c r="F6" s="2"/>
    </row>
    <row r="7" spans="1:7">
      <c r="A7" s="1" t="s">
        <v>5</v>
      </c>
      <c r="B7" s="2">
        <f>'BALANCE FIN 12'!C16</f>
        <v>35000</v>
      </c>
      <c r="C7" s="2"/>
      <c r="D7" s="2">
        <f t="shared" si="0"/>
        <v>35000</v>
      </c>
      <c r="E7" s="1" t="s">
        <v>9</v>
      </c>
      <c r="F7" s="2">
        <f>'BALANCE FIN 12'!D15</f>
        <v>51000</v>
      </c>
    </row>
    <row r="8" spans="1:7">
      <c r="A8" s="1" t="s">
        <v>6</v>
      </c>
      <c r="B8" s="2">
        <v>6200</v>
      </c>
      <c r="C8" s="2">
        <f>5000-1000-3500</f>
        <v>500</v>
      </c>
      <c r="D8" s="2">
        <f t="shared" si="0"/>
        <v>5700</v>
      </c>
      <c r="E8" s="1"/>
      <c r="F8" s="2"/>
    </row>
    <row r="9" spans="1:7">
      <c r="A9" s="1" t="s">
        <v>7</v>
      </c>
      <c r="B9" s="2">
        <f>'BALANCE FIN 12'!C19</f>
        <v>23450</v>
      </c>
      <c r="C9" s="2"/>
      <c r="D9" s="2">
        <f t="shared" si="0"/>
        <v>23450</v>
      </c>
      <c r="E9" s="1"/>
      <c r="F9" s="2"/>
    </row>
    <row r="10" spans="1:7">
      <c r="A10" s="1"/>
      <c r="B10" s="2"/>
      <c r="C10" s="2"/>
      <c r="D10" s="2">
        <f t="shared" si="0"/>
        <v>0</v>
      </c>
      <c r="E10" s="1"/>
      <c r="F10" s="2"/>
    </row>
    <row r="11" spans="1:7">
      <c r="A11" s="1" t="s">
        <v>11</v>
      </c>
      <c r="B11" s="2">
        <f>SUM(B2:B10)</f>
        <v>179150</v>
      </c>
      <c r="C11" s="2">
        <f t="shared" ref="C11:D11" si="1">SUM(C2:C10)</f>
        <v>32500</v>
      </c>
      <c r="D11" s="2">
        <f t="shared" si="1"/>
        <v>146650</v>
      </c>
      <c r="E11" s="1" t="s">
        <v>11</v>
      </c>
      <c r="F11" s="2">
        <f>SUM(F2:F10)</f>
        <v>146649.99578125001</v>
      </c>
    </row>
    <row r="14" spans="1:7" ht="21">
      <c r="A14" s="28" t="s">
        <v>115</v>
      </c>
    </row>
    <row r="17" spans="1:5">
      <c r="A17" s="1" t="s">
        <v>101</v>
      </c>
      <c r="B17" s="13">
        <f>85000</f>
        <v>85000</v>
      </c>
      <c r="C17" s="1" t="s">
        <v>109</v>
      </c>
      <c r="D17" s="13">
        <v>169551.56</v>
      </c>
    </row>
    <row r="18" spans="1:5">
      <c r="A18" s="1" t="s">
        <v>102</v>
      </c>
      <c r="B18" s="1">
        <f>5000-4500</f>
        <v>500</v>
      </c>
      <c r="C18" s="1" t="s">
        <v>64</v>
      </c>
      <c r="D18" s="1">
        <v>5000</v>
      </c>
    </row>
    <row r="19" spans="1:5">
      <c r="A19" s="1" t="s">
        <v>103</v>
      </c>
      <c r="B19" s="13">
        <v>22000</v>
      </c>
      <c r="C19" s="1"/>
      <c r="D19" s="1"/>
    </row>
    <row r="20" spans="1:5">
      <c r="A20" s="1" t="s">
        <v>96</v>
      </c>
      <c r="B20" s="13">
        <v>2000</v>
      </c>
      <c r="C20" s="1"/>
      <c r="D20" s="1"/>
    </row>
    <row r="21" spans="1:5">
      <c r="A21" s="1" t="s">
        <v>104</v>
      </c>
      <c r="B21" s="13">
        <v>50000</v>
      </c>
      <c r="C21" s="1"/>
      <c r="D21" s="1"/>
    </row>
    <row r="22" spans="1:5">
      <c r="A22" s="1" t="s">
        <v>105</v>
      </c>
      <c r="B22" s="1"/>
      <c r="C22" s="1"/>
      <c r="D22" s="1"/>
    </row>
    <row r="23" spans="1:5">
      <c r="A23" s="1" t="s">
        <v>106</v>
      </c>
      <c r="B23" s="13">
        <f>AMORTISSEMENTS!D41+AMORTISSEMENTS!D43</f>
        <v>12000</v>
      </c>
      <c r="C23" s="1"/>
      <c r="D23" s="1"/>
    </row>
    <row r="24" spans="1:5">
      <c r="A24" s="1" t="s">
        <v>107</v>
      </c>
      <c r="B24" s="13">
        <f>STOCKS!D19</f>
        <v>2000</v>
      </c>
      <c r="C24" s="1" t="s">
        <v>114</v>
      </c>
      <c r="D24" s="13">
        <f>STOCKS!E14+'CLTS DTX'!E13+'CLTS DTX'!E16</f>
        <v>5500</v>
      </c>
    </row>
    <row r="25" spans="1:5">
      <c r="A25" s="1"/>
      <c r="B25" s="1"/>
      <c r="C25" s="1"/>
      <c r="D25" s="1"/>
    </row>
    <row r="26" spans="1:5">
      <c r="A26" s="1" t="s">
        <v>108</v>
      </c>
      <c r="B26" s="1">
        <f>'CLTS DTX'!D9</f>
        <v>1300</v>
      </c>
      <c r="C26" s="1"/>
      <c r="D26" s="1"/>
    </row>
    <row r="27" spans="1:5">
      <c r="A27" s="1" t="s">
        <v>98</v>
      </c>
      <c r="B27" s="13">
        <v>6000</v>
      </c>
      <c r="C27" s="1"/>
      <c r="D27" s="1"/>
    </row>
    <row r="28" spans="1:5">
      <c r="A28" s="1" t="s">
        <v>110</v>
      </c>
      <c r="B28" s="13">
        <f>AMORTISSEMENTS!D45</f>
        <v>1625.48828125</v>
      </c>
      <c r="C28" s="1"/>
      <c r="D28" s="1"/>
    </row>
    <row r="29" spans="1:5">
      <c r="A29" s="1" t="s">
        <v>111</v>
      </c>
      <c r="B29" s="13">
        <f>'BALANCE FIN 12'!E33</f>
        <v>0</v>
      </c>
      <c r="C29" s="1" t="s">
        <v>112</v>
      </c>
      <c r="D29" s="1">
        <v>2373.9299999999998</v>
      </c>
    </row>
    <row r="30" spans="1:5">
      <c r="A30" s="1"/>
      <c r="B30" s="13">
        <f>SUM(B17:B29)</f>
        <v>182425.48828125</v>
      </c>
      <c r="C30" s="1"/>
      <c r="D30" s="13">
        <f>SUM(D17:D29)</f>
        <v>182425.49</v>
      </c>
      <c r="E30" s="9">
        <f>D30-B30</f>
        <v>1.7187499906867743E-3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page de garde</vt:lpstr>
      <vt:lpstr>BALANCE FIN 12</vt:lpstr>
      <vt:lpstr>Compte de resultat</vt:lpstr>
      <vt:lpstr>bilan 12</vt:lpstr>
      <vt:lpstr>AMORTISSEMENTS</vt:lpstr>
      <vt:lpstr>STOCKS</vt:lpstr>
      <vt:lpstr>CLTS DTX</vt:lpstr>
      <vt:lpstr>ETATS 13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2009-12-14T14:36:36Z</cp:lastPrinted>
  <dcterms:created xsi:type="dcterms:W3CDTF">2009-12-12T15:51:09Z</dcterms:created>
  <dcterms:modified xsi:type="dcterms:W3CDTF">2009-12-14T14:48:55Z</dcterms:modified>
</cp:coreProperties>
</file>