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0335" windowHeight="9150" activeTab="9"/>
  </bookViews>
  <sheets>
    <sheet name="coquelicot" sheetId="1" r:id="rId1"/>
    <sheet name="Feuil2" sheetId="2" state="hidden" r:id="rId2"/>
    <sheet name="marguerite" sheetId="3" r:id="rId3"/>
    <sheet name="niel" sheetId="7" r:id="rId4"/>
    <sheet name="camion" sheetId="6" r:id="rId5"/>
    <sheet name="tulipe" sheetId="5" r:id="rId6"/>
    <sheet name="geranium" sheetId="4" r:id="rId7"/>
    <sheet name="EX 1" sheetId="10" r:id="rId8"/>
    <sheet name="EX2" sheetId="11" r:id="rId9"/>
    <sheet name="Feuil3" sheetId="9" r:id="rId10"/>
  </sheets>
  <calcPr calcId="125725"/>
</workbook>
</file>

<file path=xl/calcChain.xml><?xml version="1.0" encoding="utf-8"?>
<calcChain xmlns="http://schemas.openxmlformats.org/spreadsheetml/2006/main">
  <c r="C10" i="11"/>
  <c r="D10" s="1"/>
  <c r="E10" s="1"/>
  <c r="C11"/>
  <c r="D11" s="1"/>
  <c r="C12"/>
  <c r="C13"/>
  <c r="C14"/>
  <c r="B21"/>
  <c r="C21"/>
  <c r="E21"/>
  <c r="F21" s="1"/>
  <c r="B22"/>
  <c r="C22"/>
  <c r="E22"/>
  <c r="B23"/>
  <c r="C23"/>
  <c r="B24"/>
  <c r="C24"/>
  <c r="B25"/>
  <c r="C25"/>
  <c r="E25"/>
  <c r="E16" i="10"/>
  <c r="E18"/>
  <c r="E19"/>
  <c r="E20"/>
  <c r="C24"/>
  <c r="D24" s="1"/>
  <c r="C25"/>
  <c r="C26"/>
  <c r="C27"/>
  <c r="C28"/>
  <c r="C29"/>
  <c r="E33"/>
  <c r="E35"/>
  <c r="C39"/>
  <c r="D39" s="1"/>
  <c r="E11" i="11" l="1"/>
  <c r="D12"/>
  <c r="D21"/>
  <c r="G21"/>
  <c r="F22"/>
  <c r="E39" i="10"/>
  <c r="B40" s="1"/>
  <c r="E24"/>
  <c r="D25"/>
  <c r="E25" s="1"/>
  <c r="D26"/>
  <c r="E12" i="11" l="1"/>
  <c r="D13"/>
  <c r="D22"/>
  <c r="G22"/>
  <c r="E26" i="10"/>
  <c r="D27"/>
  <c r="C40"/>
  <c r="D40" s="1"/>
  <c r="E40"/>
  <c r="B41" s="1"/>
  <c r="D24" i="4"/>
  <c r="D25"/>
  <c r="D26"/>
  <c r="D27"/>
  <c r="D28"/>
  <c r="D23"/>
  <c r="E23"/>
  <c r="F23" s="1"/>
  <c r="B30"/>
  <c r="C28"/>
  <c r="C27"/>
  <c r="C26"/>
  <c r="C25"/>
  <c r="C24"/>
  <c r="C23"/>
  <c r="D20" i="3"/>
  <c r="A42" i="7"/>
  <c r="A41"/>
  <c r="A40"/>
  <c r="A39"/>
  <c r="A38"/>
  <c r="A37"/>
  <c r="A36"/>
  <c r="E35"/>
  <c r="C36" s="1"/>
  <c r="D35"/>
  <c r="D24"/>
  <c r="D25"/>
  <c r="D26"/>
  <c r="D27"/>
  <c r="D28"/>
  <c r="D29"/>
  <c r="D30"/>
  <c r="D31"/>
  <c r="D23"/>
  <c r="D22"/>
  <c r="E22" s="1"/>
  <c r="D13" i="5"/>
  <c r="D14"/>
  <c r="D15" s="1"/>
  <c r="D12"/>
  <c r="D11"/>
  <c r="E12"/>
  <c r="E13"/>
  <c r="E14"/>
  <c r="E11"/>
  <c r="C16"/>
  <c r="C13"/>
  <c r="C14"/>
  <c r="C15"/>
  <c r="C12"/>
  <c r="C11"/>
  <c r="B13" i="4"/>
  <c r="C10" i="6"/>
  <c r="C8"/>
  <c r="D32" i="7" l="1"/>
  <c r="G45" s="1"/>
  <c r="G35"/>
  <c r="D49"/>
  <c r="D23" i="11"/>
  <c r="G23"/>
  <c r="E23"/>
  <c r="F23" s="1"/>
  <c r="E24"/>
  <c r="E13"/>
  <c r="D14"/>
  <c r="E14" s="1"/>
  <c r="C41" i="10"/>
  <c r="E41"/>
  <c r="B42" s="1"/>
  <c r="E27"/>
  <c r="D28"/>
  <c r="D41"/>
  <c r="E24" i="4"/>
  <c r="E23" i="7"/>
  <c r="F22"/>
  <c r="D36"/>
  <c r="G36" s="1"/>
  <c r="C16" i="4"/>
  <c r="C14"/>
  <c r="C13"/>
  <c r="C15"/>
  <c r="B16"/>
  <c r="B14"/>
  <c r="B17"/>
  <c r="B15"/>
  <c r="C12"/>
  <c r="B12"/>
  <c r="D16" i="5"/>
  <c r="E16" s="1"/>
  <c r="E15"/>
  <c r="E25" i="3"/>
  <c r="B20" i="1"/>
  <c r="B19"/>
  <c r="E19"/>
  <c r="E20"/>
  <c r="B21" s="1"/>
  <c r="E21" s="1"/>
  <c r="B22" s="1"/>
  <c r="E22" s="1"/>
  <c r="B23" s="1"/>
  <c r="E23" s="1"/>
  <c r="B24" s="1"/>
  <c r="E24" s="1"/>
  <c r="B25" s="1"/>
  <c r="E25" s="1"/>
  <c r="B26" s="1"/>
  <c r="E26" s="1"/>
  <c r="B27" s="1"/>
  <c r="E27" s="1"/>
  <c r="E18"/>
  <c r="D20"/>
  <c r="D21"/>
  <c r="D22"/>
  <c r="D23"/>
  <c r="D24"/>
  <c r="D25"/>
  <c r="D26"/>
  <c r="D27"/>
  <c r="D19"/>
  <c r="D18"/>
  <c r="F8"/>
  <c r="E36" i="7" l="1"/>
  <c r="C37" s="1"/>
  <c r="D24" i="11"/>
  <c r="G24"/>
  <c r="D25"/>
  <c r="G25"/>
  <c r="F24"/>
  <c r="E28" i="10"/>
  <c r="D29"/>
  <c r="E29" s="1"/>
  <c r="C42"/>
  <c r="E42"/>
  <c r="B43" s="1"/>
  <c r="D42"/>
  <c r="F24" i="4"/>
  <c r="E25"/>
  <c r="E24" i="7"/>
  <c r="F23"/>
  <c r="C17" i="4"/>
  <c r="D12"/>
  <c r="E12" s="1"/>
  <c r="D37" i="7" l="1"/>
  <c r="G37" s="1"/>
  <c r="C43" i="10"/>
  <c r="E43"/>
  <c r="B44" s="1"/>
  <c r="D43"/>
  <c r="F25" i="4"/>
  <c r="E26"/>
  <c r="E25" i="7"/>
  <c r="F24"/>
  <c r="D13" i="4"/>
  <c r="E13" s="1"/>
  <c r="E37" i="7" l="1"/>
  <c r="C38" s="1"/>
  <c r="D38" s="1"/>
  <c r="G38" s="1"/>
  <c r="C44" i="10"/>
  <c r="E44" s="1"/>
  <c r="B45" s="1"/>
  <c r="F26" i="4"/>
  <c r="E27"/>
  <c r="E26" i="7"/>
  <c r="F25"/>
  <c r="D14" i="4"/>
  <c r="E14" s="1"/>
  <c r="E38" i="7" l="1"/>
  <c r="C39" s="1"/>
  <c r="D39" s="1"/>
  <c r="G39" s="1"/>
  <c r="C45" i="10"/>
  <c r="C46" s="1"/>
  <c r="D44"/>
  <c r="F27" i="4"/>
  <c r="E28"/>
  <c r="F28" s="1"/>
  <c r="F26" i="7"/>
  <c r="E27"/>
  <c r="D15" i="4"/>
  <c r="E15" s="1"/>
  <c r="E39" i="7" l="1"/>
  <c r="C40" s="1"/>
  <c r="D40" s="1"/>
  <c r="G40" s="1"/>
  <c r="D45" i="10"/>
  <c r="D46" s="1"/>
  <c r="E45"/>
  <c r="B46" s="1"/>
  <c r="E46" s="1"/>
  <c r="E28" i="7"/>
  <c r="F27"/>
  <c r="D16" i="4"/>
  <c r="E16" s="1"/>
  <c r="E40" i="7" l="1"/>
  <c r="C41" s="1"/>
  <c r="D41" s="1"/>
  <c r="G41" s="1"/>
  <c r="F28"/>
  <c r="E29"/>
  <c r="D17" i="4"/>
  <c r="E17" s="1"/>
  <c r="E41" i="7" l="1"/>
  <c r="C42" s="1"/>
  <c r="D42" s="1"/>
  <c r="G42" s="1"/>
  <c r="F29"/>
  <c r="E30"/>
  <c r="F30" l="1"/>
  <c r="E31"/>
  <c r="E42"/>
  <c r="C43" s="1"/>
  <c r="E43" l="1"/>
  <c r="C44" s="1"/>
  <c r="D44" s="1"/>
  <c r="D43"/>
  <c r="G43" s="1"/>
  <c r="F31"/>
  <c r="E32"/>
  <c r="F32" s="1"/>
  <c r="E44" l="1"/>
  <c r="G44"/>
</calcChain>
</file>

<file path=xl/sharedStrings.xml><?xml version="1.0" encoding="utf-8"?>
<sst xmlns="http://schemas.openxmlformats.org/spreadsheetml/2006/main" count="247" uniqueCount="168">
  <si>
    <t>LES AMORTISSEMENTS Corrigés</t>
  </si>
  <si>
    <t>1er exercice : COQUELICOT</t>
  </si>
  <si>
    <t>Matériel de bureau et d'informatique :</t>
  </si>
  <si>
    <t>Matériel et Ouillage :</t>
  </si>
  <si>
    <t>TOTAL</t>
  </si>
  <si>
    <t>Date d'acquisition :</t>
  </si>
  <si>
    <t>125 800 X10% X n = 62900</t>
  </si>
  <si>
    <t>12580n =62900 d'où n =</t>
  </si>
  <si>
    <t>62900/12580 =</t>
  </si>
  <si>
    <t xml:space="preserve">Les amortissements ont été pratiqués sur 5 ans donc la date d'acquisition du matériel de </t>
  </si>
  <si>
    <t>bureau et du matériel d'outillage se situe le 1/01/N-5</t>
  </si>
  <si>
    <t>Annuité</t>
  </si>
  <si>
    <t>Cumul</t>
  </si>
  <si>
    <t>Valeur Résiduelle</t>
  </si>
  <si>
    <t>Valeur d'origine</t>
  </si>
  <si>
    <t>Année</t>
  </si>
  <si>
    <t>2ème exercice : MARGUERITE</t>
  </si>
  <si>
    <t xml:space="preserve">Valeur d'origine du Matériel </t>
  </si>
  <si>
    <t>Taux d'amortissement : 10%</t>
  </si>
  <si>
    <t>Nombre d'annuités : 3</t>
  </si>
  <si>
    <t>VO -30% VO = 140000</t>
  </si>
  <si>
    <t>70% VO         =140000</t>
  </si>
  <si>
    <t>VO = 140 000/70%</t>
  </si>
  <si>
    <t>VO = 200 000</t>
  </si>
  <si>
    <t>valeur comptable nette au 31/12/200n = 140 000</t>
  </si>
  <si>
    <t>775 PRODUIT CESSION</t>
  </si>
  <si>
    <t>681 DOTATIONS AMORTISSEMENTS</t>
  </si>
  <si>
    <t>100 000X10%X6/12</t>
  </si>
  <si>
    <t>2815 AMORT MAT OUTILLAGE</t>
  </si>
  <si>
    <t>675 VAL COMPT ELE ACTIF CEDE</t>
  </si>
  <si>
    <t>215 MATERIEL</t>
  </si>
  <si>
    <t>3ème exercice : NIEL</t>
  </si>
  <si>
    <t>Une machine est achetée le 20 juin pour 24 500 € HT.</t>
  </si>
  <si>
    <t>Rappel des règles :</t>
  </si>
  <si>
    <t>LINEAIRE :</t>
  </si>
  <si>
    <t>début = date de mise en service</t>
  </si>
  <si>
    <t>n+1 lignes au tableau</t>
  </si>
  <si>
    <r>
      <t>t</t>
    </r>
    <r>
      <rPr>
        <vertAlign val="subscript"/>
        <sz val="10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= 100/n</t>
    </r>
  </si>
  <si>
    <t>DEGRESSIF :</t>
  </si>
  <si>
    <t>début = date d'acquisition</t>
  </si>
  <si>
    <t>n lignes au tableau</t>
  </si>
  <si>
    <r>
      <t>t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= t</t>
    </r>
    <r>
      <rPr>
        <vertAlign val="subscript"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 xml:space="preserve"> * coefficient fiscal</t>
    </r>
  </si>
  <si>
    <t>Coefficient = 1,25 si t= 3 ou 4 ans</t>
  </si>
  <si>
    <t>1,75 si t=5 ou 6 ans</t>
  </si>
  <si>
    <t>2,25 si t&gt;6ans</t>
  </si>
  <si>
    <t>ANNEE</t>
  </si>
  <si>
    <t>ANNUITE</t>
  </si>
  <si>
    <t>N</t>
  </si>
  <si>
    <t>LINEAIRE</t>
  </si>
  <si>
    <t>4 ème exercice : CAMION</t>
  </si>
  <si>
    <t>Amortissement de la fourgonnette</t>
  </si>
  <si>
    <t>N-1</t>
  </si>
  <si>
    <t>48 000 *20% =</t>
  </si>
  <si>
    <t>48 000*20%*9/12</t>
  </si>
  <si>
    <t>681 Dotation aux amortissement</t>
  </si>
  <si>
    <t>2818 Amort Materiel de transport</t>
  </si>
  <si>
    <t>512 Banque</t>
  </si>
  <si>
    <t>30 000</t>
  </si>
  <si>
    <t>775 Produitcession elets actif</t>
  </si>
  <si>
    <t>16 800</t>
  </si>
  <si>
    <t>675 Valeur comptable Elts actif cede</t>
  </si>
  <si>
    <t>31 200</t>
  </si>
  <si>
    <t>2182 Matériel de transport</t>
  </si>
  <si>
    <t>48 000</t>
  </si>
  <si>
    <t>Le matériel étant détruit, il n'y a pas de TVA à reverser</t>
  </si>
  <si>
    <t>5ème exercice : TULIPE</t>
  </si>
  <si>
    <t>taux linéaire : 100/5 = 20%</t>
  </si>
  <si>
    <t>1ère annuité :</t>
  </si>
  <si>
    <t>6ème exercice : GERANIUM</t>
  </si>
  <si>
    <t>taux linéaire : 100/5 =20%</t>
  </si>
  <si>
    <t>DEROGATOIRE</t>
  </si>
  <si>
    <t>VNC fin</t>
  </si>
  <si>
    <t>base amortissable</t>
  </si>
  <si>
    <t>Base amortissable</t>
  </si>
  <si>
    <t>Base</t>
  </si>
  <si>
    <t>210000*20%*10/12</t>
  </si>
  <si>
    <t>2ème annuité : 210000/5</t>
  </si>
  <si>
    <t>VCN DEBUT</t>
  </si>
  <si>
    <t>VCN FIN</t>
  </si>
  <si>
    <t>681 DAP</t>
  </si>
  <si>
    <t>2815 Amort machine</t>
  </si>
  <si>
    <t>687 DAP exceptionnel</t>
  </si>
  <si>
    <t>145 amort dérogatoire</t>
  </si>
  <si>
    <t>amort derog</t>
  </si>
  <si>
    <t>4457  TVA COLLECTée</t>
  </si>
  <si>
    <t>512 BANQUE  ou 462 Créances sur cession</t>
  </si>
  <si>
    <t>1/10/N</t>
  </si>
  <si>
    <t>2818 AMORT MAT OUTILLAGE</t>
  </si>
  <si>
    <t>31/12/N-5</t>
  </si>
  <si>
    <t>31/12/N-4</t>
  </si>
  <si>
    <t>31/12/N-3</t>
  </si>
  <si>
    <t>31/12/N-2</t>
  </si>
  <si>
    <t>31/12/N-1</t>
  </si>
  <si>
    <t>31/12/N</t>
  </si>
  <si>
    <t>31/12/N+1</t>
  </si>
  <si>
    <t>31/12/N+2</t>
  </si>
  <si>
    <t>31/12/N+3</t>
  </si>
  <si>
    <t>31/12/N+4</t>
  </si>
  <si>
    <t>Avant inventaire signifie que les amortissements de N n'ont pas été enregistrées</t>
  </si>
  <si>
    <t>31/12/N+5</t>
  </si>
  <si>
    <t>31/12/N+6</t>
  </si>
  <si>
    <t>31/12/N+7</t>
  </si>
  <si>
    <t>31/12/N+8</t>
  </si>
  <si>
    <t>31/12/N+9</t>
  </si>
  <si>
    <t>31/12/N+10</t>
  </si>
  <si>
    <t>31/12/N+11</t>
  </si>
  <si>
    <t>taux linéaire</t>
  </si>
  <si>
    <t>145 Amort dérog</t>
  </si>
  <si>
    <t>787 RAP exceptionnel</t>
  </si>
  <si>
    <t xml:space="preserve">VCN = valeur acquisition - cumul </t>
  </si>
  <si>
    <t>on retrouve donc la valeur résiduelle à la fin</t>
  </si>
  <si>
    <t>1ere hypothèse</t>
  </si>
  <si>
    <t>2ème  hypothèse</t>
  </si>
  <si>
    <t>Unités</t>
  </si>
  <si>
    <t>Valeur nette comptable</t>
  </si>
  <si>
    <t>Amortissements cumulés</t>
  </si>
  <si>
    <t>Base à amortir</t>
  </si>
  <si>
    <t>DATE</t>
  </si>
  <si>
    <t>Mobilier de Bureau</t>
  </si>
  <si>
    <t>Annuités constantes à partir de n+6 puisque 34.375 &lt;100/2</t>
  </si>
  <si>
    <t>72 500*34.375*8/12</t>
  </si>
  <si>
    <t>Première annuité :</t>
  </si>
  <si>
    <t>8 MOIS</t>
  </si>
  <si>
    <t>du 1/8 au 31/03</t>
  </si>
  <si>
    <t>Prorata temporis</t>
  </si>
  <si>
    <t>100/8*(2.25+0.5)</t>
  </si>
  <si>
    <t>Taux en %</t>
  </si>
  <si>
    <t>72 500</t>
  </si>
  <si>
    <t>Machine-outil : plan d'amortissement fiscal mode dégressif</t>
  </si>
  <si>
    <t>31/06/2015</t>
  </si>
  <si>
    <t>25000*20%*7/12</t>
  </si>
  <si>
    <t>Dernière annuité</t>
  </si>
  <si>
    <t>25000*20%=</t>
  </si>
  <si>
    <t>Annuités constantes</t>
  </si>
  <si>
    <t>25 000*20%*5/12</t>
  </si>
  <si>
    <t>5 MOIS</t>
  </si>
  <si>
    <t>du 1/11 au 31/03</t>
  </si>
  <si>
    <t>100/5</t>
  </si>
  <si>
    <t>25 000</t>
  </si>
  <si>
    <t>Mobilier de Bureau : plan d'amortissement fiscal mode linéaire</t>
  </si>
  <si>
    <t>Durée d'utiliation 8 ans.</t>
  </si>
  <si>
    <t>Amortissement dégressif</t>
  </si>
  <si>
    <t>Mise en service le 25 Août</t>
  </si>
  <si>
    <t>Machine outil : 72 500€ hors taxes, acquise le 18 aout 2009,</t>
  </si>
  <si>
    <t>Durée d'utiliation 5 ans.</t>
  </si>
  <si>
    <t>Amortissement linéaire</t>
  </si>
  <si>
    <t>mis en service le 1er novembre</t>
  </si>
  <si>
    <t>Mobilier de bureau : 25 000€ hors taxes, acquis le 25 octobre2009</t>
  </si>
  <si>
    <t>Elle vous communique les renseignements suivants concernant deux immobilisations :</t>
  </si>
  <si>
    <t xml:space="preserve">L'entreprise Sica clôture son exercice le 31 mars. </t>
  </si>
  <si>
    <t>EXEMPLE 1</t>
  </si>
  <si>
    <t>LES MODES D'AMORTISSEMENT</t>
  </si>
  <si>
    <t>n+4</t>
  </si>
  <si>
    <t>n+3</t>
  </si>
  <si>
    <t>n+2</t>
  </si>
  <si>
    <t>n+1</t>
  </si>
  <si>
    <t>n</t>
  </si>
  <si>
    <t>VNC</t>
  </si>
  <si>
    <t>Amort cumulés</t>
  </si>
  <si>
    <t>Plan révisé</t>
  </si>
  <si>
    <t>Plan initial</t>
  </si>
  <si>
    <t>il a été décidé en n+2 de réduire sa durée d'utilisation à 4 ans au lieu de 5.</t>
  </si>
  <si>
    <t>A la suite d'une utilisation plus intensive que prévuede la photocopieuse,</t>
  </si>
  <si>
    <t>Photocopieuse</t>
  </si>
  <si>
    <t>la durée d'utilisation est de cinq ans se présente ainsi :</t>
  </si>
  <si>
    <t>Leplan d'amortissement linéaire d'une photocopieuse acquise le 2 janvier et dont</t>
  </si>
  <si>
    <t>EXEMPLE 2</t>
  </si>
  <si>
    <t>Modification du Plan d'amortissement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</si>
</sst>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4" fillId="0" borderId="0" xfId="0" applyFont="1"/>
    <xf numFmtId="164" fontId="0" fillId="0" borderId="0" xfId="1" applyFont="1" applyAlignment="1">
      <alignment horizontal="center"/>
    </xf>
    <xf numFmtId="164" fontId="0" fillId="0" borderId="0" xfId="1" applyFont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66" fontId="0" fillId="0" borderId="0" xfId="1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2" xfId="0" applyBorder="1"/>
    <xf numFmtId="0" fontId="2" fillId="0" borderId="0" xfId="0" applyFont="1"/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 vertical="top"/>
    </xf>
    <xf numFmtId="0" fontId="0" fillId="0" borderId="4" xfId="0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167" fontId="0" fillId="0" borderId="0" xfId="0" applyNumberFormat="1"/>
    <xf numFmtId="1" fontId="0" fillId="0" borderId="1" xfId="0" applyNumberFormat="1" applyBorder="1" applyAlignment="1">
      <alignment horizontal="center"/>
    </xf>
    <xf numFmtId="9" fontId="0" fillId="0" borderId="0" xfId="0" applyNumberFormat="1"/>
    <xf numFmtId="166" fontId="0" fillId="0" borderId="1" xfId="1" applyNumberFormat="1" applyFont="1" applyBorder="1" applyAlignment="1">
      <alignment horizontal="center"/>
    </xf>
    <xf numFmtId="166" fontId="0" fillId="0" borderId="1" xfId="1" applyNumberFormat="1" applyFont="1" applyBorder="1"/>
    <xf numFmtId="166" fontId="0" fillId="0" borderId="0" xfId="0" applyNumberFormat="1"/>
    <xf numFmtId="0" fontId="8" fillId="0" borderId="0" xfId="0" applyFont="1"/>
    <xf numFmtId="0" fontId="8" fillId="0" borderId="2" xfId="0" applyFont="1" applyBorder="1"/>
    <xf numFmtId="0" fontId="8" fillId="0" borderId="2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0" xfId="0" applyFont="1" applyFill="1" applyBorder="1"/>
    <xf numFmtId="0" fontId="8" fillId="0" borderId="3" xfId="0" applyFont="1" applyBorder="1"/>
    <xf numFmtId="0" fontId="9" fillId="0" borderId="0" xfId="0" applyFont="1"/>
    <xf numFmtId="0" fontId="9" fillId="0" borderId="4" xfId="0" applyFont="1" applyBorder="1"/>
    <xf numFmtId="0" fontId="9" fillId="0" borderId="0" xfId="0" applyFont="1" applyAlignment="1">
      <alignment horizontal="center"/>
    </xf>
    <xf numFmtId="0" fontId="7" fillId="0" borderId="0" xfId="0" applyFont="1"/>
    <xf numFmtId="0" fontId="10" fillId="0" borderId="0" xfId="0" applyFont="1"/>
    <xf numFmtId="166" fontId="0" fillId="0" borderId="0" xfId="1" applyNumberFormat="1" applyFont="1" applyBorder="1"/>
    <xf numFmtId="166" fontId="0" fillId="0" borderId="0" xfId="1" applyNumberFormat="1" applyFont="1" applyBorder="1" applyAlignment="1">
      <alignment horizontal="center"/>
    </xf>
    <xf numFmtId="0" fontId="0" fillId="0" borderId="3" xfId="0" applyNumberFormat="1" applyBorder="1"/>
    <xf numFmtId="0" fontId="7" fillId="0" borderId="1" xfId="0" applyFont="1" applyBorder="1"/>
    <xf numFmtId="0" fontId="11" fillId="0" borderId="0" xfId="0" applyFont="1"/>
    <xf numFmtId="14" fontId="0" fillId="0" borderId="1" xfId="0" applyNumberFormat="1" applyBorder="1" applyAlignment="1">
      <alignment horizontal="center"/>
    </xf>
    <xf numFmtId="2" fontId="0" fillId="0" borderId="0" xfId="0" applyNumberFormat="1"/>
    <xf numFmtId="164" fontId="0" fillId="0" borderId="1" xfId="0" applyNumberFormat="1" applyFill="1" applyBorder="1" applyAlignme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1" xfId="1" applyFont="1" applyBorder="1"/>
    <xf numFmtId="164" fontId="0" fillId="0" borderId="1" xfId="0" applyNumberFormat="1" applyBorder="1" applyAlignment="1"/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0" xfId="1" applyFont="1"/>
    <xf numFmtId="0" fontId="12" fillId="0" borderId="0" xfId="0" applyFont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E16" sqref="E16"/>
    </sheetView>
  </sheetViews>
  <sheetFormatPr baseColWidth="10" defaultRowHeight="15"/>
  <cols>
    <col min="1" max="1" width="11.42578125" customWidth="1"/>
    <col min="3" max="3" width="11.42578125" customWidth="1"/>
    <col min="6" max="6" width="11.5703125" style="3" bestFit="1" customWidth="1"/>
  </cols>
  <sheetData>
    <row r="1" spans="1:6" ht="18.75">
      <c r="A1" s="1" t="s">
        <v>0</v>
      </c>
      <c r="F1" s="5"/>
    </row>
    <row r="4" spans="1:6">
      <c r="A4" s="2" t="s">
        <v>1</v>
      </c>
    </row>
    <row r="6" spans="1:6">
      <c r="A6" t="s">
        <v>2</v>
      </c>
      <c r="F6" s="4">
        <v>51800</v>
      </c>
    </row>
    <row r="7" spans="1:6">
      <c r="A7" t="s">
        <v>3</v>
      </c>
      <c r="F7" s="3">
        <v>74000</v>
      </c>
    </row>
    <row r="8" spans="1:6">
      <c r="D8" t="s">
        <v>4</v>
      </c>
      <c r="F8" s="3">
        <f>SUM(F6:F7)</f>
        <v>125800</v>
      </c>
    </row>
    <row r="10" spans="1:6">
      <c r="A10" t="s">
        <v>5</v>
      </c>
    </row>
    <row r="11" spans="1:6">
      <c r="A11" t="s">
        <v>6</v>
      </c>
    </row>
    <row r="12" spans="1:6">
      <c r="A12" t="s">
        <v>7</v>
      </c>
      <c r="D12" t="s">
        <v>8</v>
      </c>
      <c r="F12" s="6">
        <v>5</v>
      </c>
    </row>
    <row r="13" spans="1:6">
      <c r="A13" s="40" t="s">
        <v>98</v>
      </c>
    </row>
    <row r="14" spans="1:6">
      <c r="A14" t="s">
        <v>9</v>
      </c>
    </row>
    <row r="15" spans="1:6">
      <c r="A15" t="s">
        <v>10</v>
      </c>
    </row>
    <row r="17" spans="1:5" ht="30">
      <c r="A17" s="10" t="s">
        <v>15</v>
      </c>
      <c r="B17" s="11" t="s">
        <v>14</v>
      </c>
      <c r="C17" s="10" t="s">
        <v>11</v>
      </c>
      <c r="D17" s="10" t="s">
        <v>12</v>
      </c>
      <c r="E17" s="11" t="s">
        <v>13</v>
      </c>
    </row>
    <row r="18" spans="1:5">
      <c r="A18" s="8" t="s">
        <v>88</v>
      </c>
      <c r="B18" s="7">
        <v>125800</v>
      </c>
      <c r="C18" s="7">
        <v>12580</v>
      </c>
      <c r="D18" s="7">
        <f>C18</f>
        <v>12580</v>
      </c>
      <c r="E18" s="7">
        <f>B18-C18</f>
        <v>113220</v>
      </c>
    </row>
    <row r="19" spans="1:5">
      <c r="A19" s="8" t="s">
        <v>89</v>
      </c>
      <c r="B19" s="7">
        <f>E18</f>
        <v>113220</v>
      </c>
      <c r="C19" s="7">
        <v>12580</v>
      </c>
      <c r="D19" s="7">
        <f>D18+C19</f>
        <v>25160</v>
      </c>
      <c r="E19" s="7">
        <f t="shared" ref="E19:E27" si="0">B19-C19</f>
        <v>100640</v>
      </c>
    </row>
    <row r="20" spans="1:5">
      <c r="A20" s="8" t="s">
        <v>90</v>
      </c>
      <c r="B20" s="7">
        <f t="shared" ref="B20:B27" si="1">E19</f>
        <v>100640</v>
      </c>
      <c r="C20" s="7">
        <v>12580</v>
      </c>
      <c r="D20" s="7">
        <f t="shared" ref="D20:D27" si="2">D19+C20</f>
        <v>37740</v>
      </c>
      <c r="E20" s="7">
        <f t="shared" si="0"/>
        <v>88060</v>
      </c>
    </row>
    <row r="21" spans="1:5">
      <c r="A21" s="8" t="s">
        <v>91</v>
      </c>
      <c r="B21" s="7">
        <f t="shared" si="1"/>
        <v>88060</v>
      </c>
      <c r="C21" s="7">
        <v>12580</v>
      </c>
      <c r="D21" s="7">
        <f t="shared" si="2"/>
        <v>50320</v>
      </c>
      <c r="E21" s="7">
        <f t="shared" si="0"/>
        <v>75480</v>
      </c>
    </row>
    <row r="22" spans="1:5">
      <c r="A22" s="8" t="s">
        <v>92</v>
      </c>
      <c r="B22" s="7">
        <f t="shared" si="1"/>
        <v>75480</v>
      </c>
      <c r="C22" s="7">
        <v>12580</v>
      </c>
      <c r="D22" s="9">
        <f t="shared" si="2"/>
        <v>62900</v>
      </c>
      <c r="E22" s="7">
        <f t="shared" si="0"/>
        <v>62900</v>
      </c>
    </row>
    <row r="23" spans="1:5">
      <c r="A23" s="8" t="s">
        <v>93</v>
      </c>
      <c r="B23" s="7">
        <f t="shared" si="1"/>
        <v>62900</v>
      </c>
      <c r="C23" s="7">
        <v>12580</v>
      </c>
      <c r="D23" s="7">
        <f t="shared" si="2"/>
        <v>75480</v>
      </c>
      <c r="E23" s="7">
        <f t="shared" si="0"/>
        <v>50320</v>
      </c>
    </row>
    <row r="24" spans="1:5">
      <c r="A24" s="8" t="s">
        <v>94</v>
      </c>
      <c r="B24" s="7">
        <f t="shared" si="1"/>
        <v>50320</v>
      </c>
      <c r="C24" s="7">
        <v>12580</v>
      </c>
      <c r="D24" s="7">
        <f t="shared" si="2"/>
        <v>88060</v>
      </c>
      <c r="E24" s="7">
        <f t="shared" si="0"/>
        <v>37740</v>
      </c>
    </row>
    <row r="25" spans="1:5">
      <c r="A25" s="8" t="s">
        <v>95</v>
      </c>
      <c r="B25" s="7">
        <f t="shared" si="1"/>
        <v>37740</v>
      </c>
      <c r="C25" s="7">
        <v>12580</v>
      </c>
      <c r="D25" s="7">
        <f t="shared" si="2"/>
        <v>100640</v>
      </c>
      <c r="E25" s="7">
        <f t="shared" si="0"/>
        <v>25160</v>
      </c>
    </row>
    <row r="26" spans="1:5">
      <c r="A26" s="8" t="s">
        <v>96</v>
      </c>
      <c r="B26" s="7">
        <f t="shared" si="1"/>
        <v>25160</v>
      </c>
      <c r="C26" s="7">
        <v>12580</v>
      </c>
      <c r="D26" s="7">
        <f t="shared" si="2"/>
        <v>113220</v>
      </c>
      <c r="E26" s="7">
        <f t="shared" si="0"/>
        <v>12580</v>
      </c>
    </row>
    <row r="27" spans="1:5">
      <c r="A27" s="8" t="s">
        <v>97</v>
      </c>
      <c r="B27" s="7">
        <f t="shared" si="1"/>
        <v>12580</v>
      </c>
      <c r="C27" s="7">
        <v>12580</v>
      </c>
      <c r="D27" s="7">
        <f t="shared" si="2"/>
        <v>125800</v>
      </c>
      <c r="E27" s="7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activeCell="C22" sqref="C22"/>
    </sheetView>
  </sheetViews>
  <sheetFormatPr baseColWidth="10" defaultRowHeight="15"/>
  <cols>
    <col min="1" max="1" width="23.7109375" customWidth="1"/>
    <col min="2" max="2" width="6.42578125" customWidth="1"/>
    <col min="3" max="3" width="19.140625" customWidth="1"/>
    <col min="4" max="4" width="8.85546875" customWidth="1"/>
    <col min="5" max="5" width="9.140625" customWidth="1"/>
  </cols>
  <sheetData>
    <row r="1" spans="1:1" ht="18.75">
      <c r="A1" s="1" t="s">
        <v>0</v>
      </c>
    </row>
    <row r="4" spans="1:1">
      <c r="A4" s="2" t="s">
        <v>16</v>
      </c>
    </row>
    <row r="7" spans="1:1">
      <c r="A7" t="s">
        <v>17</v>
      </c>
    </row>
    <row r="9" spans="1:1">
      <c r="A9" t="s">
        <v>24</v>
      </c>
    </row>
    <row r="10" spans="1:1">
      <c r="A10" t="s">
        <v>18</v>
      </c>
    </row>
    <row r="11" spans="1:1">
      <c r="A11" t="s">
        <v>19</v>
      </c>
    </row>
    <row r="13" spans="1:1">
      <c r="A13" t="s">
        <v>20</v>
      </c>
    </row>
    <row r="14" spans="1:1">
      <c r="A14" t="s">
        <v>21</v>
      </c>
    </row>
    <row r="16" spans="1:1">
      <c r="A16" t="s">
        <v>22</v>
      </c>
    </row>
    <row r="17" spans="1:5">
      <c r="A17" t="s">
        <v>23</v>
      </c>
    </row>
    <row r="19" spans="1:5" ht="15.75" thickBot="1">
      <c r="A19" s="12"/>
      <c r="B19" t="s">
        <v>86</v>
      </c>
      <c r="C19" s="12"/>
    </row>
    <row r="20" spans="1:5" s="31" customFormat="1" ht="15.75">
      <c r="A20" s="31" t="s">
        <v>26</v>
      </c>
      <c r="D20" s="31">
        <f>48000*0.2*9/12</f>
        <v>7200</v>
      </c>
    </row>
    <row r="21" spans="1:5" s="31" customFormat="1" ht="15.75">
      <c r="A21" s="31" t="s">
        <v>27</v>
      </c>
    </row>
    <row r="22" spans="1:5" s="31" customFormat="1" ht="32.25" thickBot="1">
      <c r="A22" s="32"/>
      <c r="C22" s="33" t="s">
        <v>87</v>
      </c>
      <c r="E22" s="31">
        <v>7200</v>
      </c>
    </row>
    <row r="23" spans="1:5" s="31" customFormat="1" ht="31.5">
      <c r="A23" s="34" t="s">
        <v>28</v>
      </c>
      <c r="D23" s="31">
        <v>35000</v>
      </c>
    </row>
    <row r="24" spans="1:5" s="31" customFormat="1" ht="15.75">
      <c r="A24" s="35" t="s">
        <v>29</v>
      </c>
      <c r="D24" s="31">
        <v>65000</v>
      </c>
    </row>
    <row r="25" spans="1:5" s="31" customFormat="1" ht="15.75">
      <c r="C25" s="31" t="s">
        <v>30</v>
      </c>
      <c r="E25" s="31">
        <f>D24+D23</f>
        <v>100000</v>
      </c>
    </row>
    <row r="26" spans="1:5" s="31" customFormat="1" ht="15.75">
      <c r="A26" s="36" t="s">
        <v>85</v>
      </c>
      <c r="C26" s="36"/>
      <c r="D26" s="31">
        <v>72000</v>
      </c>
    </row>
    <row r="27" spans="1:5" s="31" customFormat="1" ht="15.75">
      <c r="C27" s="31" t="s">
        <v>84</v>
      </c>
      <c r="E27" s="31">
        <v>12000</v>
      </c>
    </row>
    <row r="28" spans="1:5" s="31" customFormat="1" ht="16.5" thickBot="1">
      <c r="A28" s="32"/>
      <c r="C28" s="32" t="s">
        <v>25</v>
      </c>
      <c r="E28" s="31">
        <v>60000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7"/>
  <sheetViews>
    <sheetView topLeftCell="A28" workbookViewId="0">
      <selection activeCell="D44" sqref="D44"/>
    </sheetView>
  </sheetViews>
  <sheetFormatPr baseColWidth="10" defaultRowHeight="15"/>
  <cols>
    <col min="1" max="1" width="14.42578125" customWidth="1"/>
    <col min="3" max="3" width="20.28515625" customWidth="1"/>
    <col min="4" max="4" width="16.5703125" customWidth="1"/>
    <col min="5" max="5" width="18.140625" customWidth="1"/>
  </cols>
  <sheetData>
    <row r="1" spans="1:2" ht="18.75">
      <c r="A1" s="1" t="s">
        <v>0</v>
      </c>
    </row>
    <row r="3" spans="1:2">
      <c r="A3" s="2" t="s">
        <v>31</v>
      </c>
    </row>
    <row r="5" spans="1:2">
      <c r="A5" t="s">
        <v>32</v>
      </c>
    </row>
    <row r="6" spans="1:2">
      <c r="A6" t="s">
        <v>33</v>
      </c>
    </row>
    <row r="7" spans="1:2">
      <c r="B7" s="13" t="s">
        <v>34</v>
      </c>
    </row>
    <row r="8" spans="1:2">
      <c r="B8" t="s">
        <v>35</v>
      </c>
    </row>
    <row r="9" spans="1:2">
      <c r="B9" t="s">
        <v>36</v>
      </c>
    </row>
    <row r="10" spans="1:2">
      <c r="B10" t="s">
        <v>37</v>
      </c>
    </row>
    <row r="12" spans="1:2">
      <c r="A12" s="13"/>
      <c r="B12" s="13" t="s">
        <v>38</v>
      </c>
    </row>
    <row r="13" spans="1:2">
      <c r="B13" t="s">
        <v>39</v>
      </c>
    </row>
    <row r="14" spans="1:2">
      <c r="B14" t="s">
        <v>40</v>
      </c>
    </row>
    <row r="15" spans="1:2" ht="18">
      <c r="B15" t="s">
        <v>41</v>
      </c>
    </row>
    <row r="16" spans="1:2">
      <c r="A16" t="s">
        <v>42</v>
      </c>
    </row>
    <row r="17" spans="1:6">
      <c r="B17" t="s">
        <v>43</v>
      </c>
    </row>
    <row r="18" spans="1:6">
      <c r="B18" t="s">
        <v>44</v>
      </c>
    </row>
    <row r="20" spans="1:6">
      <c r="A20" s="13" t="s">
        <v>34</v>
      </c>
    </row>
    <row r="21" spans="1:6">
      <c r="B21" s="10" t="s">
        <v>45</v>
      </c>
      <c r="C21" s="10" t="s">
        <v>73</v>
      </c>
      <c r="D21" s="10" t="s">
        <v>46</v>
      </c>
      <c r="E21" s="10" t="s">
        <v>12</v>
      </c>
      <c r="F21" s="10" t="s">
        <v>71</v>
      </c>
    </row>
    <row r="22" spans="1:6">
      <c r="B22" s="8" t="s">
        <v>93</v>
      </c>
      <c r="C22" s="8">
        <v>24500</v>
      </c>
      <c r="D22" s="26">
        <f>24500*10%*190/360</f>
        <v>1293.0555555555557</v>
      </c>
      <c r="E22" s="15">
        <f>D22</f>
        <v>1293.0555555555557</v>
      </c>
      <c r="F22" s="26">
        <f>C22-E22</f>
        <v>23206.944444444445</v>
      </c>
    </row>
    <row r="23" spans="1:6">
      <c r="B23" s="8" t="s">
        <v>94</v>
      </c>
      <c r="C23" s="8">
        <v>24500</v>
      </c>
      <c r="D23" s="8">
        <f>24500*10%</f>
        <v>2450</v>
      </c>
      <c r="E23" s="15">
        <f>E22+D23</f>
        <v>3743.0555555555557</v>
      </c>
      <c r="F23" s="26">
        <f t="shared" ref="F23:F32" si="0">C23-E23</f>
        <v>20756.944444444445</v>
      </c>
    </row>
    <row r="24" spans="1:6">
      <c r="B24" s="8" t="s">
        <v>96</v>
      </c>
      <c r="C24" s="8">
        <v>24500</v>
      </c>
      <c r="D24" s="8">
        <f t="shared" ref="D24:D31" si="1">24500*10%</f>
        <v>2450</v>
      </c>
      <c r="E24" s="15">
        <f t="shared" ref="E24:E32" si="2">E23+D24</f>
        <v>6193.0555555555557</v>
      </c>
      <c r="F24" s="26">
        <f t="shared" si="0"/>
        <v>18306.944444444445</v>
      </c>
    </row>
    <row r="25" spans="1:6">
      <c r="B25" s="8" t="s">
        <v>97</v>
      </c>
      <c r="C25" s="8">
        <v>24500</v>
      </c>
      <c r="D25" s="8">
        <f t="shared" si="1"/>
        <v>2450</v>
      </c>
      <c r="E25" s="15">
        <f t="shared" si="2"/>
        <v>8643.0555555555547</v>
      </c>
      <c r="F25" s="26">
        <f t="shared" si="0"/>
        <v>15856.944444444445</v>
      </c>
    </row>
    <row r="26" spans="1:6">
      <c r="B26" s="8" t="s">
        <v>99</v>
      </c>
      <c r="C26" s="8">
        <v>24500</v>
      </c>
      <c r="D26" s="8">
        <f t="shared" si="1"/>
        <v>2450</v>
      </c>
      <c r="E26" s="15">
        <f t="shared" si="2"/>
        <v>11093.055555555555</v>
      </c>
      <c r="F26" s="26">
        <f t="shared" si="0"/>
        <v>13406.944444444445</v>
      </c>
    </row>
    <row r="27" spans="1:6">
      <c r="B27" s="8" t="s">
        <v>100</v>
      </c>
      <c r="C27" s="8">
        <v>24500</v>
      </c>
      <c r="D27" s="8">
        <f t="shared" si="1"/>
        <v>2450</v>
      </c>
      <c r="E27" s="15">
        <f t="shared" si="2"/>
        <v>13543.055555555555</v>
      </c>
      <c r="F27" s="26">
        <f t="shared" si="0"/>
        <v>10956.944444444445</v>
      </c>
    </row>
    <row r="28" spans="1:6">
      <c r="B28" s="8" t="s">
        <v>101</v>
      </c>
      <c r="C28" s="8">
        <v>24500</v>
      </c>
      <c r="D28" s="8">
        <f t="shared" si="1"/>
        <v>2450</v>
      </c>
      <c r="E28" s="15">
        <f t="shared" si="2"/>
        <v>15993.055555555555</v>
      </c>
      <c r="F28" s="26">
        <f t="shared" si="0"/>
        <v>8506.9444444444453</v>
      </c>
    </row>
    <row r="29" spans="1:6">
      <c r="B29" s="8" t="s">
        <v>102</v>
      </c>
      <c r="C29" s="8">
        <v>24500</v>
      </c>
      <c r="D29" s="8">
        <f t="shared" si="1"/>
        <v>2450</v>
      </c>
      <c r="E29" s="15">
        <f t="shared" si="2"/>
        <v>18443.055555555555</v>
      </c>
      <c r="F29" s="26">
        <f t="shared" si="0"/>
        <v>6056.9444444444453</v>
      </c>
    </row>
    <row r="30" spans="1:6">
      <c r="B30" s="8" t="s">
        <v>103</v>
      </c>
      <c r="C30" s="8">
        <v>24500</v>
      </c>
      <c r="D30" s="8">
        <f t="shared" si="1"/>
        <v>2450</v>
      </c>
      <c r="E30" s="15">
        <f t="shared" si="2"/>
        <v>20893.055555555555</v>
      </c>
      <c r="F30" s="26">
        <f t="shared" si="0"/>
        <v>3606.9444444444453</v>
      </c>
    </row>
    <row r="31" spans="1:6">
      <c r="B31" s="8" t="s">
        <v>104</v>
      </c>
      <c r="C31" s="8">
        <v>24500</v>
      </c>
      <c r="D31" s="8">
        <f t="shared" si="1"/>
        <v>2450</v>
      </c>
      <c r="E31" s="15">
        <f t="shared" si="2"/>
        <v>23343.055555555555</v>
      </c>
      <c r="F31" s="26">
        <f t="shared" si="0"/>
        <v>1156.9444444444453</v>
      </c>
    </row>
    <row r="32" spans="1:6">
      <c r="B32" s="8" t="s">
        <v>105</v>
      </c>
      <c r="C32" s="8">
        <v>24500</v>
      </c>
      <c r="D32" s="26">
        <f>D31-D22</f>
        <v>1156.9444444444443</v>
      </c>
      <c r="E32" s="15">
        <f t="shared" si="2"/>
        <v>24500</v>
      </c>
      <c r="F32" s="26">
        <f t="shared" si="0"/>
        <v>0</v>
      </c>
    </row>
    <row r="33" spans="1:7">
      <c r="A33" t="s">
        <v>38</v>
      </c>
      <c r="B33" s="14"/>
    </row>
    <row r="34" spans="1:7">
      <c r="A34" s="41" t="s">
        <v>106</v>
      </c>
      <c r="B34" s="10" t="s">
        <v>45</v>
      </c>
      <c r="C34" s="10" t="s">
        <v>77</v>
      </c>
      <c r="D34" s="10" t="s">
        <v>46</v>
      </c>
      <c r="E34" s="10" t="s">
        <v>78</v>
      </c>
      <c r="G34" s="24" t="s">
        <v>83</v>
      </c>
    </row>
    <row r="35" spans="1:7">
      <c r="A35" s="27">
        <v>0.1</v>
      </c>
      <c r="B35" s="8" t="s">
        <v>93</v>
      </c>
      <c r="C35" s="28">
        <v>24500</v>
      </c>
      <c r="D35" s="28">
        <f>24500*22.5%*7/12</f>
        <v>3215.625</v>
      </c>
      <c r="E35" s="28">
        <f>C35-D35</f>
        <v>21284.375</v>
      </c>
      <c r="G35" s="30">
        <f>D35-D22</f>
        <v>1922.5694444444443</v>
      </c>
    </row>
    <row r="36" spans="1:7">
      <c r="A36">
        <f>100/9</f>
        <v>11.111111111111111</v>
      </c>
      <c r="B36" s="8" t="s">
        <v>94</v>
      </c>
      <c r="C36" s="28">
        <f t="shared" ref="C36:C42" si="3">E35</f>
        <v>21284.375</v>
      </c>
      <c r="D36" s="28">
        <f>C36*22.5%</f>
        <v>4788.984375</v>
      </c>
      <c r="E36" s="28">
        <f>C36-D36</f>
        <v>16495.390625</v>
      </c>
      <c r="G36" s="30">
        <f>D36-D23</f>
        <v>2338.984375</v>
      </c>
    </row>
    <row r="37" spans="1:7">
      <c r="A37">
        <f>100/8</f>
        <v>12.5</v>
      </c>
      <c r="B37" s="8" t="s">
        <v>95</v>
      </c>
      <c r="C37" s="28">
        <f t="shared" si="3"/>
        <v>16495.390625</v>
      </c>
      <c r="D37" s="28">
        <f>C37*22.5%</f>
        <v>3711.462890625</v>
      </c>
      <c r="E37" s="28">
        <f t="shared" ref="E37:E44" si="4">C37-D37</f>
        <v>12783.927734375</v>
      </c>
      <c r="G37" s="30">
        <f>D37-D24</f>
        <v>1261.462890625</v>
      </c>
    </row>
    <row r="38" spans="1:7">
      <c r="A38">
        <f>100/7</f>
        <v>14.285714285714286</v>
      </c>
      <c r="B38" s="8" t="s">
        <v>96</v>
      </c>
      <c r="C38" s="28">
        <f t="shared" si="3"/>
        <v>12783.927734375</v>
      </c>
      <c r="D38" s="28">
        <f t="shared" ref="D38:D40" si="5">C38*22.5%</f>
        <v>2876.3837402343752</v>
      </c>
      <c r="E38" s="28">
        <f t="shared" si="4"/>
        <v>9907.5439941406257</v>
      </c>
      <c r="G38" s="30">
        <f>D38-D25</f>
        <v>426.38374023437518</v>
      </c>
    </row>
    <row r="39" spans="1:7">
      <c r="A39">
        <f>100/6</f>
        <v>16.666666666666668</v>
      </c>
      <c r="B39" s="8" t="s">
        <v>97</v>
      </c>
      <c r="C39" s="28">
        <f t="shared" si="3"/>
        <v>9907.5439941406257</v>
      </c>
      <c r="D39" s="28">
        <f t="shared" si="5"/>
        <v>2229.1973986816411</v>
      </c>
      <c r="E39" s="28">
        <f t="shared" si="4"/>
        <v>7678.3465954589847</v>
      </c>
      <c r="G39" s="30">
        <f>D39-D26</f>
        <v>-220.80260131835894</v>
      </c>
    </row>
    <row r="40" spans="1:7">
      <c r="A40">
        <f>100/5</f>
        <v>20</v>
      </c>
      <c r="B40" s="8" t="s">
        <v>99</v>
      </c>
      <c r="C40" s="28">
        <f t="shared" si="3"/>
        <v>7678.3465954589847</v>
      </c>
      <c r="D40" s="28">
        <f t="shared" si="5"/>
        <v>1727.6279839782717</v>
      </c>
      <c r="E40" s="28">
        <f t="shared" si="4"/>
        <v>5950.7186114807128</v>
      </c>
      <c r="G40" s="30">
        <f>D40-D27</f>
        <v>-722.37201602172831</v>
      </c>
    </row>
    <row r="41" spans="1:7">
      <c r="A41">
        <f>100/4</f>
        <v>25</v>
      </c>
      <c r="B41" s="8" t="s">
        <v>100</v>
      </c>
      <c r="C41" s="28">
        <f t="shared" si="3"/>
        <v>5950.7186114807128</v>
      </c>
      <c r="D41" s="28">
        <f>C41*25%</f>
        <v>1487.6796528701782</v>
      </c>
      <c r="E41" s="28">
        <f t="shared" si="4"/>
        <v>4463.0389586105348</v>
      </c>
      <c r="G41" s="30">
        <f>D41-D28</f>
        <v>-962.32034712982181</v>
      </c>
    </row>
    <row r="42" spans="1:7">
      <c r="A42">
        <f>100/3</f>
        <v>33.333333333333336</v>
      </c>
      <c r="B42" s="8" t="s">
        <v>101</v>
      </c>
      <c r="C42" s="29">
        <f t="shared" si="3"/>
        <v>4463.0389586105348</v>
      </c>
      <c r="D42" s="28">
        <f>C42*33.33%</f>
        <v>1487.5308849048911</v>
      </c>
      <c r="E42" s="28">
        <f t="shared" si="4"/>
        <v>2975.5080737056437</v>
      </c>
      <c r="G42" s="30">
        <f>D42-D29</f>
        <v>-962.46911509510892</v>
      </c>
    </row>
    <row r="43" spans="1:7">
      <c r="A43">
        <v>50</v>
      </c>
      <c r="B43" s="8" t="s">
        <v>102</v>
      </c>
      <c r="C43" s="29">
        <f t="shared" ref="C43:C44" si="6">E42</f>
        <v>2975.5080737056437</v>
      </c>
      <c r="D43" s="28">
        <f>C43*50%</f>
        <v>1487.7540368528219</v>
      </c>
      <c r="E43" s="28">
        <f t="shared" si="4"/>
        <v>1487.7540368528219</v>
      </c>
      <c r="G43" s="30">
        <f>D43-D30</f>
        <v>-962.24596314717814</v>
      </c>
    </row>
    <row r="44" spans="1:7">
      <c r="A44">
        <v>100</v>
      </c>
      <c r="B44" s="8" t="s">
        <v>103</v>
      </c>
      <c r="C44" s="29">
        <f t="shared" si="6"/>
        <v>1487.7540368528219</v>
      </c>
      <c r="D44" s="28">
        <f>C44*100%</f>
        <v>1487.7540368528219</v>
      </c>
      <c r="E44" s="28">
        <f t="shared" si="4"/>
        <v>0</v>
      </c>
      <c r="G44" s="30">
        <f>D44-D31</f>
        <v>-962.24596314717814</v>
      </c>
    </row>
    <row r="45" spans="1:7">
      <c r="B45" s="17"/>
      <c r="C45" s="42"/>
      <c r="D45" s="43"/>
      <c r="E45" s="43"/>
      <c r="G45" s="30">
        <f>D46-D32</f>
        <v>-1156.9444444444443</v>
      </c>
    </row>
    <row r="46" spans="1:7">
      <c r="A46" s="16"/>
      <c r="B46" s="17"/>
      <c r="C46" s="16" t="s">
        <v>93</v>
      </c>
      <c r="D46" s="18"/>
      <c r="E46" s="18"/>
      <c r="F46" s="16"/>
      <c r="G46" s="44">
        <v>0</v>
      </c>
    </row>
    <row r="47" spans="1:7">
      <c r="A47" s="16" t="s">
        <v>48</v>
      </c>
      <c r="B47" s="21" t="s">
        <v>79</v>
      </c>
      <c r="C47" s="19"/>
      <c r="D47" s="16">
        <v>1293</v>
      </c>
      <c r="E47" s="16"/>
      <c r="F47" s="16"/>
    </row>
    <row r="48" spans="1:7">
      <c r="A48" s="16"/>
      <c r="B48" s="20"/>
      <c r="C48" s="23" t="s">
        <v>80</v>
      </c>
      <c r="D48" s="16"/>
      <c r="E48" s="16">
        <v>1293</v>
      </c>
      <c r="F48" s="16"/>
    </row>
    <row r="49" spans="1:5">
      <c r="A49" t="s">
        <v>70</v>
      </c>
      <c r="B49" s="21" t="s">
        <v>81</v>
      </c>
      <c r="C49" s="19"/>
      <c r="D49" s="30">
        <f>D35-D47</f>
        <v>1922.625</v>
      </c>
    </row>
    <row r="50" spans="1:5">
      <c r="B50" s="22"/>
      <c r="C50" s="23" t="s">
        <v>82</v>
      </c>
      <c r="E50">
        <v>1923</v>
      </c>
    </row>
    <row r="53" spans="1:5">
      <c r="C53" t="s">
        <v>101</v>
      </c>
    </row>
    <row r="54" spans="1:5">
      <c r="A54" s="16" t="s">
        <v>48</v>
      </c>
      <c r="B54" s="21" t="s">
        <v>79</v>
      </c>
      <c r="C54" s="19"/>
      <c r="D54" s="16">
        <v>2450</v>
      </c>
      <c r="E54" s="16"/>
    </row>
    <row r="55" spans="1:5">
      <c r="A55" s="16"/>
      <c r="B55" s="20"/>
      <c r="C55" s="23" t="s">
        <v>80</v>
      </c>
      <c r="D55" s="16"/>
      <c r="E55" s="16">
        <v>2450</v>
      </c>
    </row>
    <row r="56" spans="1:5">
      <c r="A56" t="s">
        <v>70</v>
      </c>
      <c r="B56" s="21" t="s">
        <v>107</v>
      </c>
      <c r="C56" s="19"/>
      <c r="D56" s="30">
        <v>962</v>
      </c>
    </row>
    <row r="57" spans="1:5">
      <c r="B57" s="22"/>
      <c r="C57" s="23" t="s">
        <v>108</v>
      </c>
      <c r="E57">
        <v>962</v>
      </c>
    </row>
  </sheetData>
  <pageMargins left="0.39370078740157483" right="0.39370078740157483" top="0.59055118110236227" bottom="0.59055118110236227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B10" sqref="B10"/>
    </sheetView>
  </sheetViews>
  <sheetFormatPr baseColWidth="10" defaultRowHeight="15"/>
  <cols>
    <col min="2" max="2" width="22.7109375" customWidth="1"/>
  </cols>
  <sheetData>
    <row r="1" spans="1:5" ht="18.75">
      <c r="A1" s="1" t="s">
        <v>0</v>
      </c>
    </row>
    <row r="4" spans="1:5">
      <c r="A4" s="2" t="s">
        <v>49</v>
      </c>
    </row>
    <row r="6" spans="1:5">
      <c r="A6" t="s">
        <v>50</v>
      </c>
    </row>
    <row r="8" spans="1:5" s="37" customFormat="1" ht="18.75">
      <c r="A8" s="37" t="s">
        <v>51</v>
      </c>
      <c r="B8" s="37" t="s">
        <v>52</v>
      </c>
      <c r="C8" s="37">
        <f>48000*20%</f>
        <v>9600</v>
      </c>
    </row>
    <row r="9" spans="1:5" s="37" customFormat="1" ht="18.75">
      <c r="A9" s="37" t="s">
        <v>47</v>
      </c>
      <c r="B9" s="37" t="s">
        <v>53</v>
      </c>
      <c r="C9" s="38">
        <v>7200</v>
      </c>
    </row>
    <row r="10" spans="1:5" s="37" customFormat="1" ht="18.75">
      <c r="C10" s="37">
        <f>C9+C8</f>
        <v>16800</v>
      </c>
    </row>
    <row r="11" spans="1:5" s="37" customFormat="1" ht="18.75">
      <c r="A11" s="38"/>
      <c r="C11" s="38"/>
    </row>
    <row r="12" spans="1:5" s="37" customFormat="1" ht="18.75">
      <c r="A12" s="37" t="s">
        <v>54</v>
      </c>
      <c r="D12" s="39">
        <v>7200</v>
      </c>
      <c r="E12" s="39"/>
    </row>
    <row r="13" spans="1:5" s="37" customFormat="1" ht="18.75">
      <c r="B13" s="37" t="s">
        <v>55</v>
      </c>
      <c r="D13" s="39"/>
      <c r="E13" s="39">
        <v>7200</v>
      </c>
    </row>
    <row r="14" spans="1:5" s="37" customFormat="1" ht="18.75">
      <c r="A14" s="38"/>
      <c r="C14" s="38"/>
      <c r="D14" s="39"/>
      <c r="E14" s="39"/>
    </row>
    <row r="15" spans="1:5" s="37" customFormat="1" ht="18.75">
      <c r="A15" s="37" t="s">
        <v>56</v>
      </c>
      <c r="D15" s="39" t="s">
        <v>57</v>
      </c>
      <c r="E15" s="39"/>
    </row>
    <row r="16" spans="1:5" s="37" customFormat="1" ht="18.75">
      <c r="B16" s="37" t="s">
        <v>58</v>
      </c>
      <c r="D16" s="39"/>
      <c r="E16" s="39" t="s">
        <v>57</v>
      </c>
    </row>
    <row r="17" spans="1:5" s="37" customFormat="1" ht="18.75">
      <c r="A17" s="38"/>
      <c r="C17" s="38"/>
      <c r="D17" s="39"/>
      <c r="E17" s="39"/>
    </row>
    <row r="18" spans="1:5" s="37" customFormat="1" ht="18.75">
      <c r="A18" s="37" t="s">
        <v>55</v>
      </c>
      <c r="D18" s="39" t="s">
        <v>59</v>
      </c>
      <c r="E18" s="39"/>
    </row>
    <row r="19" spans="1:5" s="37" customFormat="1" ht="18.75">
      <c r="A19" s="37" t="s">
        <v>60</v>
      </c>
      <c r="D19" s="39" t="s">
        <v>61</v>
      </c>
      <c r="E19" s="39"/>
    </row>
    <row r="20" spans="1:5" s="37" customFormat="1" ht="18.75">
      <c r="B20" s="37" t="s">
        <v>62</v>
      </c>
      <c r="D20" s="39"/>
      <c r="E20" s="39" t="s">
        <v>63</v>
      </c>
    </row>
    <row r="21" spans="1:5" s="37" customFormat="1" ht="18.75">
      <c r="A21" s="38"/>
      <c r="C21" s="38"/>
    </row>
    <row r="22" spans="1:5" s="37" customFormat="1" ht="18.75"/>
    <row r="23" spans="1:5" s="37" customFormat="1" ht="18.75">
      <c r="A23" s="37" t="s">
        <v>64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E18" sqref="E18"/>
    </sheetView>
  </sheetViews>
  <sheetFormatPr baseColWidth="10" defaultRowHeight="15"/>
  <cols>
    <col min="1" max="1" width="13.85546875" customWidth="1"/>
  </cols>
  <sheetData>
    <row r="1" spans="1:5" ht="18.75">
      <c r="A1" s="1" t="s">
        <v>0</v>
      </c>
    </row>
    <row r="4" spans="1:5">
      <c r="A4" s="2" t="s">
        <v>65</v>
      </c>
    </row>
    <row r="6" spans="1:5">
      <c r="A6" t="s">
        <v>66</v>
      </c>
    </row>
    <row r="7" spans="1:5">
      <c r="A7" t="s">
        <v>67</v>
      </c>
      <c r="B7" t="s">
        <v>75</v>
      </c>
    </row>
    <row r="8" spans="1:5">
      <c r="A8" t="s">
        <v>76</v>
      </c>
      <c r="E8" s="46" t="s">
        <v>109</v>
      </c>
    </row>
    <row r="10" spans="1:5">
      <c r="A10" s="10" t="s">
        <v>45</v>
      </c>
      <c r="B10" s="10" t="s">
        <v>74</v>
      </c>
      <c r="C10" s="10" t="s">
        <v>46</v>
      </c>
      <c r="D10" s="10" t="s">
        <v>12</v>
      </c>
      <c r="E10" s="10" t="s">
        <v>71</v>
      </c>
    </row>
    <row r="11" spans="1:5">
      <c r="A11" s="8" t="s">
        <v>93</v>
      </c>
      <c r="B11" s="7">
        <v>210000</v>
      </c>
      <c r="C11" s="7">
        <f>210000*20%*10/12</f>
        <v>35000</v>
      </c>
      <c r="D11" s="7">
        <f>C11</f>
        <v>35000</v>
      </c>
      <c r="E11" s="45">
        <f>226530-D11</f>
        <v>191530</v>
      </c>
    </row>
    <row r="12" spans="1:5">
      <c r="A12" s="8" t="s">
        <v>94</v>
      </c>
      <c r="B12" s="7">
        <v>210000</v>
      </c>
      <c r="C12" s="7">
        <f>210000/5</f>
        <v>42000</v>
      </c>
      <c r="D12" s="7">
        <f>D11+C12</f>
        <v>77000</v>
      </c>
      <c r="E12" s="7">
        <f t="shared" ref="E12:E16" si="0">226530-D12</f>
        <v>149530</v>
      </c>
    </row>
    <row r="13" spans="1:5">
      <c r="A13" s="8" t="s">
        <v>95</v>
      </c>
      <c r="B13" s="7">
        <v>210000</v>
      </c>
      <c r="C13" s="7">
        <f t="shared" ref="C13:C15" si="1">210000/5</f>
        <v>42000</v>
      </c>
      <c r="D13" s="7">
        <f t="shared" ref="D13:D16" si="2">D12+C13</f>
        <v>119000</v>
      </c>
      <c r="E13" s="7">
        <f t="shared" si="0"/>
        <v>107530</v>
      </c>
    </row>
    <row r="14" spans="1:5">
      <c r="A14" s="8" t="s">
        <v>96</v>
      </c>
      <c r="B14" s="7">
        <v>210000</v>
      </c>
      <c r="C14" s="7">
        <f t="shared" si="1"/>
        <v>42000</v>
      </c>
      <c r="D14" s="7">
        <f t="shared" si="2"/>
        <v>161000</v>
      </c>
      <c r="E14" s="7">
        <f t="shared" si="0"/>
        <v>65530</v>
      </c>
    </row>
    <row r="15" spans="1:5">
      <c r="A15" s="8" t="s">
        <v>97</v>
      </c>
      <c r="B15" s="7">
        <v>210000</v>
      </c>
      <c r="C15" s="7">
        <f t="shared" si="1"/>
        <v>42000</v>
      </c>
      <c r="D15" s="7">
        <f t="shared" si="2"/>
        <v>203000</v>
      </c>
      <c r="E15" s="7">
        <f t="shared" si="0"/>
        <v>23530</v>
      </c>
    </row>
    <row r="16" spans="1:5">
      <c r="A16" s="8" t="s">
        <v>99</v>
      </c>
      <c r="B16" s="7">
        <v>210000</v>
      </c>
      <c r="C16" s="7">
        <f>C15-C11</f>
        <v>7000</v>
      </c>
      <c r="D16" s="7">
        <f t="shared" si="2"/>
        <v>210000</v>
      </c>
      <c r="E16" s="45">
        <f t="shared" si="0"/>
        <v>16530</v>
      </c>
    </row>
    <row r="17" spans="5:5">
      <c r="E17" t="s">
        <v>110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D30" sqref="D30"/>
    </sheetView>
  </sheetViews>
  <sheetFormatPr baseColWidth="10" defaultRowHeight="15"/>
  <cols>
    <col min="1" max="1" width="12.7109375" customWidth="1"/>
    <col min="2" max="2" width="15.7109375" customWidth="1"/>
  </cols>
  <sheetData>
    <row r="1" spans="1:5" ht="18.75">
      <c r="A1" s="1" t="s">
        <v>0</v>
      </c>
    </row>
    <row r="4" spans="1:5">
      <c r="A4" s="2" t="s">
        <v>68</v>
      </c>
    </row>
    <row r="5" spans="1:5">
      <c r="A5" s="2"/>
    </row>
    <row r="6" spans="1:5">
      <c r="A6" s="40" t="s">
        <v>111</v>
      </c>
    </row>
    <row r="7" spans="1:5">
      <c r="A7" t="s">
        <v>69</v>
      </c>
    </row>
    <row r="8" spans="1:5">
      <c r="A8" t="s">
        <v>72</v>
      </c>
      <c r="C8">
        <v>38540</v>
      </c>
    </row>
    <row r="11" spans="1:5">
      <c r="A11" s="10" t="s">
        <v>45</v>
      </c>
      <c r="B11" s="10" t="s">
        <v>73</v>
      </c>
      <c r="C11" s="10" t="s">
        <v>46</v>
      </c>
      <c r="D11" s="10" t="s">
        <v>12</v>
      </c>
      <c r="E11" s="10" t="s">
        <v>71</v>
      </c>
    </row>
    <row r="12" spans="1:5">
      <c r="A12" s="47">
        <v>39903</v>
      </c>
      <c r="B12" s="8">
        <f t="shared" ref="B12:B17" si="0">$C$8</f>
        <v>38540</v>
      </c>
      <c r="C12" s="8">
        <f>C8*20%*135/360</f>
        <v>2890.5</v>
      </c>
      <c r="D12" s="8">
        <f>C12</f>
        <v>2890.5</v>
      </c>
      <c r="E12" s="8">
        <f>$C$8-D12</f>
        <v>35649.5</v>
      </c>
    </row>
    <row r="13" spans="1:5">
      <c r="A13" s="47">
        <v>40268</v>
      </c>
      <c r="B13" s="8">
        <f t="shared" si="0"/>
        <v>38540</v>
      </c>
      <c r="C13" s="8">
        <f>$C$8/5</f>
        <v>7708</v>
      </c>
      <c r="D13" s="8">
        <f>D12+C13</f>
        <v>10598.5</v>
      </c>
      <c r="E13" s="8">
        <f t="shared" ref="E13:E17" si="1">$C$8-D13</f>
        <v>27941.5</v>
      </c>
    </row>
    <row r="14" spans="1:5">
      <c r="A14" s="47">
        <v>40633</v>
      </c>
      <c r="B14" s="8">
        <f t="shared" si="0"/>
        <v>38540</v>
      </c>
      <c r="C14" s="8">
        <f>$C$8/5</f>
        <v>7708</v>
      </c>
      <c r="D14" s="8">
        <f t="shared" ref="D14:D17" si="2">D13+C14</f>
        <v>18306.5</v>
      </c>
      <c r="E14" s="8">
        <f t="shared" si="1"/>
        <v>20233.5</v>
      </c>
    </row>
    <row r="15" spans="1:5">
      <c r="A15" s="47">
        <v>40999</v>
      </c>
      <c r="B15" s="8">
        <f t="shared" si="0"/>
        <v>38540</v>
      </c>
      <c r="C15" s="8">
        <f>$C$8/5</f>
        <v>7708</v>
      </c>
      <c r="D15" s="8">
        <f t="shared" si="2"/>
        <v>26014.5</v>
      </c>
      <c r="E15" s="8">
        <f t="shared" si="1"/>
        <v>12525.5</v>
      </c>
    </row>
    <row r="16" spans="1:5">
      <c r="A16" s="47">
        <v>41364</v>
      </c>
      <c r="B16" s="8">
        <f t="shared" si="0"/>
        <v>38540</v>
      </c>
      <c r="C16" s="8">
        <f>$C$8/5</f>
        <v>7708</v>
      </c>
      <c r="D16" s="8">
        <f t="shared" si="2"/>
        <v>33722.5</v>
      </c>
      <c r="E16" s="8">
        <f t="shared" si="1"/>
        <v>4817.5</v>
      </c>
    </row>
    <row r="17" spans="1:9">
      <c r="A17" s="47">
        <v>41729</v>
      </c>
      <c r="B17" s="8">
        <f t="shared" si="0"/>
        <v>38540</v>
      </c>
      <c r="C17" s="8">
        <f>C16-C12</f>
        <v>4817.5</v>
      </c>
      <c r="D17" s="8">
        <f t="shared" si="2"/>
        <v>38540</v>
      </c>
      <c r="E17" s="8">
        <f t="shared" si="1"/>
        <v>0</v>
      </c>
    </row>
    <row r="19" spans="1:9">
      <c r="G19" s="25"/>
      <c r="I19" s="25"/>
    </row>
    <row r="20" spans="1:9">
      <c r="A20" s="40" t="s">
        <v>112</v>
      </c>
    </row>
    <row r="22" spans="1:9">
      <c r="A22" s="10" t="s">
        <v>45</v>
      </c>
      <c r="B22" s="10" t="s">
        <v>113</v>
      </c>
      <c r="C22" s="10" t="s">
        <v>73</v>
      </c>
      <c r="D22" s="10" t="s">
        <v>46</v>
      </c>
      <c r="E22" s="10" t="s">
        <v>12</v>
      </c>
      <c r="F22" s="10" t="s">
        <v>71</v>
      </c>
    </row>
    <row r="23" spans="1:9">
      <c r="A23" s="47">
        <v>39903</v>
      </c>
      <c r="B23" s="15">
        <v>5000</v>
      </c>
      <c r="C23" s="8">
        <f t="shared" ref="C23:C28" si="3">$C$8</f>
        <v>38540</v>
      </c>
      <c r="D23" s="8">
        <f>C23*B23/$B$30</f>
        <v>1927</v>
      </c>
      <c r="E23" s="8">
        <f>D23</f>
        <v>1927</v>
      </c>
      <c r="F23" s="8">
        <f>$C$8-E23</f>
        <v>36613</v>
      </c>
    </row>
    <row r="24" spans="1:9">
      <c r="A24" s="47">
        <v>40268</v>
      </c>
      <c r="B24" s="15">
        <v>20000</v>
      </c>
      <c r="C24" s="8">
        <f t="shared" si="3"/>
        <v>38540</v>
      </c>
      <c r="D24" s="8">
        <f t="shared" ref="D24:D28" si="4">C24*B24/$B$30</f>
        <v>7708</v>
      </c>
      <c r="E24" s="8">
        <f>E23+D24</f>
        <v>9635</v>
      </c>
      <c r="F24" s="8">
        <f t="shared" ref="F24:F28" si="5">$C$8-E24</f>
        <v>28905</v>
      </c>
    </row>
    <row r="25" spans="1:9">
      <c r="A25" s="47">
        <v>40633</v>
      </c>
      <c r="B25" s="15">
        <v>20000</v>
      </c>
      <c r="C25" s="8">
        <f t="shared" si="3"/>
        <v>38540</v>
      </c>
      <c r="D25" s="8">
        <f t="shared" si="4"/>
        <v>7708</v>
      </c>
      <c r="E25" s="8">
        <f t="shared" ref="E25:E28" si="6">E24+D25</f>
        <v>17343</v>
      </c>
      <c r="F25" s="8">
        <f t="shared" si="5"/>
        <v>21197</v>
      </c>
    </row>
    <row r="26" spans="1:9">
      <c r="A26" s="47">
        <v>40999</v>
      </c>
      <c r="B26" s="15">
        <v>20000</v>
      </c>
      <c r="C26" s="8">
        <f t="shared" si="3"/>
        <v>38540</v>
      </c>
      <c r="D26" s="8">
        <f t="shared" si="4"/>
        <v>7708</v>
      </c>
      <c r="E26" s="8">
        <f t="shared" si="6"/>
        <v>25051</v>
      </c>
      <c r="F26" s="8">
        <f t="shared" si="5"/>
        <v>13489</v>
      </c>
    </row>
    <row r="27" spans="1:9">
      <c r="A27" s="47">
        <v>41364</v>
      </c>
      <c r="B27" s="15">
        <v>20000</v>
      </c>
      <c r="C27" s="8">
        <f t="shared" si="3"/>
        <v>38540</v>
      </c>
      <c r="D27" s="8">
        <f t="shared" si="4"/>
        <v>7708</v>
      </c>
      <c r="E27" s="8">
        <f t="shared" si="6"/>
        <v>32759</v>
      </c>
      <c r="F27" s="8">
        <f t="shared" si="5"/>
        <v>5781</v>
      </c>
    </row>
    <row r="28" spans="1:9">
      <c r="A28" s="47">
        <v>41729</v>
      </c>
      <c r="B28" s="15">
        <v>15000</v>
      </c>
      <c r="C28" s="8">
        <f t="shared" si="3"/>
        <v>38540</v>
      </c>
      <c r="D28" s="8">
        <f t="shared" si="4"/>
        <v>5781</v>
      </c>
      <c r="E28" s="8">
        <f t="shared" si="6"/>
        <v>38540</v>
      </c>
      <c r="F28" s="8">
        <f t="shared" si="5"/>
        <v>0</v>
      </c>
    </row>
    <row r="30" spans="1:9">
      <c r="B30" s="48">
        <f>SUM(B23:B29)</f>
        <v>100000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6"/>
  <sheetViews>
    <sheetView workbookViewId="0">
      <selection activeCell="D10" sqref="D10"/>
    </sheetView>
  </sheetViews>
  <sheetFormatPr baseColWidth="10" defaultRowHeight="15"/>
  <cols>
    <col min="3" max="3" width="11.140625" customWidth="1"/>
    <col min="4" max="4" width="16.28515625" customWidth="1"/>
    <col min="5" max="5" width="13.85546875" customWidth="1"/>
  </cols>
  <sheetData>
    <row r="1" spans="1:5" ht="21">
      <c r="A1" s="59" t="s">
        <v>151</v>
      </c>
    </row>
    <row r="3" spans="1:5">
      <c r="A3" s="13" t="s">
        <v>150</v>
      </c>
    </row>
    <row r="5" spans="1:5">
      <c r="A5" t="s">
        <v>149</v>
      </c>
    </row>
    <row r="6" spans="1:5">
      <c r="A6" t="s">
        <v>148</v>
      </c>
    </row>
    <row r="7" spans="1:5">
      <c r="B7" t="s">
        <v>147</v>
      </c>
    </row>
    <row r="8" spans="1:5">
      <c r="B8" t="s">
        <v>146</v>
      </c>
    </row>
    <row r="9" spans="1:5">
      <c r="B9" t="s">
        <v>145</v>
      </c>
      <c r="E9" t="s">
        <v>144</v>
      </c>
    </row>
    <row r="11" spans="1:5">
      <c r="B11" t="s">
        <v>143</v>
      </c>
    </row>
    <row r="12" spans="1:5">
      <c r="B12" t="s">
        <v>142</v>
      </c>
    </row>
    <row r="13" spans="1:5">
      <c r="B13" t="s">
        <v>141</v>
      </c>
      <c r="E13" t="s">
        <v>140</v>
      </c>
    </row>
    <row r="14" spans="1:5">
      <c r="A14" s="2" t="s">
        <v>139</v>
      </c>
    </row>
    <row r="15" spans="1:5">
      <c r="A15" t="s">
        <v>116</v>
      </c>
      <c r="C15" t="s">
        <v>138</v>
      </c>
    </row>
    <row r="16" spans="1:5">
      <c r="A16" t="s">
        <v>126</v>
      </c>
      <c r="C16" t="s">
        <v>137</v>
      </c>
      <c r="E16">
        <f>100/5</f>
        <v>20</v>
      </c>
    </row>
    <row r="17" spans="1:5">
      <c r="A17" t="s">
        <v>124</v>
      </c>
      <c r="C17" t="s">
        <v>136</v>
      </c>
      <c r="E17" s="57" t="s">
        <v>135</v>
      </c>
    </row>
    <row r="18" spans="1:5">
      <c r="A18" t="s">
        <v>121</v>
      </c>
      <c r="C18" t="s">
        <v>134</v>
      </c>
      <c r="E18" s="56">
        <f>25000*20%*5/12</f>
        <v>2083.3333333333335</v>
      </c>
    </row>
    <row r="19" spans="1:5">
      <c r="A19" t="s">
        <v>133</v>
      </c>
      <c r="C19" t="s">
        <v>132</v>
      </c>
      <c r="E19">
        <f>25000*20%</f>
        <v>5000</v>
      </c>
    </row>
    <row r="20" spans="1:5">
      <c r="A20" t="s">
        <v>131</v>
      </c>
      <c r="C20" t="s">
        <v>130</v>
      </c>
      <c r="E20" s="58">
        <f>25000*20%*7/12</f>
        <v>2916.6666666666665</v>
      </c>
    </row>
    <row r="21" spans="1:5" ht="15.75" thickBot="1"/>
    <row r="22" spans="1:5" ht="15.75" thickBot="1">
      <c r="A22" s="62" t="s">
        <v>118</v>
      </c>
      <c r="B22" s="63"/>
      <c r="C22" s="63"/>
      <c r="D22" s="63"/>
      <c r="E22" s="64"/>
    </row>
    <row r="23" spans="1:5" ht="33" customHeight="1">
      <c r="A23" s="55" t="s">
        <v>117</v>
      </c>
      <c r="B23" s="54" t="s">
        <v>116</v>
      </c>
      <c r="C23" s="55" t="s">
        <v>11</v>
      </c>
      <c r="D23" s="54" t="s">
        <v>115</v>
      </c>
      <c r="E23" s="54" t="s">
        <v>114</v>
      </c>
    </row>
    <row r="24" spans="1:5">
      <c r="A24" s="47">
        <v>40268</v>
      </c>
      <c r="B24" s="52">
        <v>25000</v>
      </c>
      <c r="C24" s="50">
        <f>E18</f>
        <v>2083.3333333333335</v>
      </c>
      <c r="D24" s="50">
        <f>C24</f>
        <v>2083.3333333333335</v>
      </c>
      <c r="E24" s="53">
        <f t="shared" ref="E24:E29" si="0">B24-D24</f>
        <v>22916.666666666668</v>
      </c>
    </row>
    <row r="25" spans="1:5">
      <c r="A25" s="47">
        <v>40633</v>
      </c>
      <c r="B25" s="52">
        <v>25000</v>
      </c>
      <c r="C25" s="8">
        <f>E$19</f>
        <v>5000</v>
      </c>
      <c r="D25" s="50">
        <f>C25+D24</f>
        <v>7083.3333333333339</v>
      </c>
      <c r="E25" s="53">
        <f t="shared" si="0"/>
        <v>17916.666666666664</v>
      </c>
    </row>
    <row r="26" spans="1:5">
      <c r="A26" s="47">
        <v>40999</v>
      </c>
      <c r="B26" s="52">
        <v>25000</v>
      </c>
      <c r="C26" s="8">
        <f>E$19</f>
        <v>5000</v>
      </c>
      <c r="D26" s="50">
        <f>C26+D25</f>
        <v>12083.333333333334</v>
      </c>
      <c r="E26" s="53">
        <f t="shared" si="0"/>
        <v>12916.666666666666</v>
      </c>
    </row>
    <row r="27" spans="1:5">
      <c r="A27" s="47">
        <v>41364</v>
      </c>
      <c r="B27" s="52">
        <v>25000</v>
      </c>
      <c r="C27" s="8">
        <f>E$19</f>
        <v>5000</v>
      </c>
      <c r="D27" s="50">
        <f>C27+D26</f>
        <v>17083.333333333336</v>
      </c>
      <c r="E27" s="53">
        <f t="shared" si="0"/>
        <v>7916.6666666666642</v>
      </c>
    </row>
    <row r="28" spans="1:5">
      <c r="A28" s="47">
        <v>41729</v>
      </c>
      <c r="B28" s="52">
        <v>25000</v>
      </c>
      <c r="C28" s="8">
        <f>E$19</f>
        <v>5000</v>
      </c>
      <c r="D28" s="50">
        <f>C28+D27</f>
        <v>22083.333333333336</v>
      </c>
      <c r="E28" s="53">
        <f t="shared" si="0"/>
        <v>2916.6666666666642</v>
      </c>
    </row>
    <row r="29" spans="1:5">
      <c r="A29" s="8" t="s">
        <v>129</v>
      </c>
      <c r="B29" s="52">
        <v>25000</v>
      </c>
      <c r="C29" s="50">
        <f>E20</f>
        <v>2916.6666666666665</v>
      </c>
      <c r="D29" s="50">
        <f>C29+D28</f>
        <v>25000.000000000004</v>
      </c>
      <c r="E29" s="53">
        <f t="shared" si="0"/>
        <v>0</v>
      </c>
    </row>
    <row r="31" spans="1:5">
      <c r="A31" s="2" t="s">
        <v>128</v>
      </c>
    </row>
    <row r="32" spans="1:5">
      <c r="A32" t="s">
        <v>116</v>
      </c>
      <c r="C32" t="s">
        <v>127</v>
      </c>
    </row>
    <row r="33" spans="1:5">
      <c r="A33" t="s">
        <v>126</v>
      </c>
      <c r="C33" t="s">
        <v>125</v>
      </c>
      <c r="E33">
        <f>100/8*2.75</f>
        <v>34.375</v>
      </c>
    </row>
    <row r="34" spans="1:5">
      <c r="A34" t="s">
        <v>124</v>
      </c>
      <c r="C34" t="s">
        <v>123</v>
      </c>
      <c r="E34" s="57" t="s">
        <v>122</v>
      </c>
    </row>
    <row r="35" spans="1:5">
      <c r="A35" t="s">
        <v>121</v>
      </c>
      <c r="C35" t="s">
        <v>120</v>
      </c>
      <c r="E35" s="56">
        <f>72500*34.375%*8/12</f>
        <v>16614.583333333332</v>
      </c>
    </row>
    <row r="36" spans="1:5" ht="15.75" thickBot="1">
      <c r="A36" t="s">
        <v>119</v>
      </c>
    </row>
    <row r="37" spans="1:5" ht="15.75" thickBot="1">
      <c r="A37" s="62" t="s">
        <v>118</v>
      </c>
      <c r="B37" s="63"/>
      <c r="C37" s="63"/>
      <c r="D37" s="63"/>
      <c r="E37" s="64"/>
    </row>
    <row r="38" spans="1:5" ht="30">
      <c r="A38" s="55" t="s">
        <v>117</v>
      </c>
      <c r="B38" s="54" t="s">
        <v>116</v>
      </c>
      <c r="C38" s="55" t="s">
        <v>11</v>
      </c>
      <c r="D38" s="54" t="s">
        <v>115</v>
      </c>
      <c r="E38" s="54" t="s">
        <v>114</v>
      </c>
    </row>
    <row r="39" spans="1:5">
      <c r="A39" s="47">
        <v>40268</v>
      </c>
      <c r="B39" s="52">
        <v>72500</v>
      </c>
      <c r="C39" s="50">
        <f>E35</f>
        <v>16614.583333333332</v>
      </c>
      <c r="D39" s="50">
        <f>C39</f>
        <v>16614.583333333332</v>
      </c>
      <c r="E39" s="53">
        <f>B39-D39</f>
        <v>55885.416666666672</v>
      </c>
    </row>
    <row r="40" spans="1:5">
      <c r="A40" s="47">
        <v>40633</v>
      </c>
      <c r="B40" s="52">
        <f t="shared" ref="B40:B46" si="1">E39</f>
        <v>55885.416666666672</v>
      </c>
      <c r="C40" s="50">
        <f>B40*0.34375</f>
        <v>19210.611979166668</v>
      </c>
      <c r="D40" s="50">
        <f t="shared" ref="D40:D46" si="2">D39+C40</f>
        <v>35825.1953125</v>
      </c>
      <c r="E40" s="53">
        <f t="shared" ref="E40:E46" si="3">B40-C40</f>
        <v>36674.8046875</v>
      </c>
    </row>
    <row r="41" spans="1:5">
      <c r="A41" s="47">
        <v>40999</v>
      </c>
      <c r="B41" s="52">
        <f t="shared" si="1"/>
        <v>36674.8046875</v>
      </c>
      <c r="C41" s="50">
        <f>B41*0.34375</f>
        <v>12606.964111328125</v>
      </c>
      <c r="D41" s="50">
        <f t="shared" si="2"/>
        <v>48432.159423828125</v>
      </c>
      <c r="E41" s="53">
        <f t="shared" si="3"/>
        <v>24067.840576171875</v>
      </c>
    </row>
    <row r="42" spans="1:5">
      <c r="A42" s="47">
        <v>41364</v>
      </c>
      <c r="B42" s="52">
        <f t="shared" si="1"/>
        <v>24067.840576171875</v>
      </c>
      <c r="C42" s="50">
        <f>B42*0.34375</f>
        <v>8273.320198059082</v>
      </c>
      <c r="D42" s="50">
        <f t="shared" si="2"/>
        <v>56705.479621887207</v>
      </c>
      <c r="E42" s="53">
        <f t="shared" si="3"/>
        <v>15794.520378112793</v>
      </c>
    </row>
    <row r="43" spans="1:5">
      <c r="A43" s="47">
        <v>41729</v>
      </c>
      <c r="B43" s="52">
        <f t="shared" si="1"/>
        <v>15794.520378112793</v>
      </c>
      <c r="C43" s="50">
        <f>B43*0.34375</f>
        <v>5429.3663799762726</v>
      </c>
      <c r="D43" s="50">
        <f t="shared" si="2"/>
        <v>62134.84600186348</v>
      </c>
      <c r="E43" s="53">
        <f t="shared" si="3"/>
        <v>10365.15399813652</v>
      </c>
    </row>
    <row r="44" spans="1:5">
      <c r="A44" s="47">
        <v>42094</v>
      </c>
      <c r="B44" s="52">
        <f t="shared" si="1"/>
        <v>10365.15399813652</v>
      </c>
      <c r="C44" s="50">
        <f>B44*0.34375</f>
        <v>3563.0216868594289</v>
      </c>
      <c r="D44" s="50">
        <f t="shared" si="2"/>
        <v>65697.867688722908</v>
      </c>
      <c r="E44" s="53">
        <f t="shared" si="3"/>
        <v>6802.1323112770915</v>
      </c>
    </row>
    <row r="45" spans="1:5">
      <c r="A45" s="47">
        <v>42460</v>
      </c>
      <c r="B45" s="52">
        <f t="shared" si="1"/>
        <v>6802.1323112770915</v>
      </c>
      <c r="C45" s="51">
        <f>B45*0.5</f>
        <v>3401.0661556385458</v>
      </c>
      <c r="D45" s="50">
        <f t="shared" si="2"/>
        <v>69098.933844361454</v>
      </c>
      <c r="E45" s="49">
        <f t="shared" si="3"/>
        <v>3401.0661556385458</v>
      </c>
    </row>
    <row r="46" spans="1:5">
      <c r="A46" s="47">
        <v>42825</v>
      </c>
      <c r="B46" s="52">
        <f t="shared" si="1"/>
        <v>3401.0661556385458</v>
      </c>
      <c r="C46" s="51">
        <f>C45</f>
        <v>3401.0661556385458</v>
      </c>
      <c r="D46" s="50">
        <f t="shared" si="2"/>
        <v>72500</v>
      </c>
      <c r="E46" s="49">
        <f t="shared" si="3"/>
        <v>0</v>
      </c>
    </row>
  </sheetData>
  <mergeCells count="2">
    <mergeCell ref="A22:E22"/>
    <mergeCell ref="A37:E3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C22" sqref="C22"/>
    </sheetView>
  </sheetViews>
  <sheetFormatPr baseColWidth="10" defaultRowHeight="15"/>
  <cols>
    <col min="4" max="4" width="13.28515625" customWidth="1"/>
  </cols>
  <sheetData>
    <row r="1" spans="1:5">
      <c r="A1" t="s">
        <v>167</v>
      </c>
    </row>
    <row r="3" spans="1:5">
      <c r="A3" s="13" t="s">
        <v>166</v>
      </c>
    </row>
    <row r="4" spans="1:5">
      <c r="A4" t="s">
        <v>165</v>
      </c>
    </row>
    <row r="5" spans="1:5">
      <c r="A5" t="s">
        <v>164</v>
      </c>
    </row>
    <row r="7" spans="1:5" ht="15.75" thickBot="1"/>
    <row r="8" spans="1:5" ht="15.75" thickBot="1">
      <c r="A8" s="62" t="s">
        <v>163</v>
      </c>
      <c r="B8" s="63"/>
      <c r="C8" s="63"/>
      <c r="D8" s="63"/>
      <c r="E8" s="64"/>
    </row>
    <row r="9" spans="1:5" ht="45">
      <c r="A9" s="55" t="s">
        <v>117</v>
      </c>
      <c r="B9" s="54" t="s">
        <v>116</v>
      </c>
      <c r="C9" s="55" t="s">
        <v>11</v>
      </c>
      <c r="D9" s="54" t="s">
        <v>115</v>
      </c>
      <c r="E9" s="54" t="s">
        <v>114</v>
      </c>
    </row>
    <row r="10" spans="1:5">
      <c r="A10" s="8" t="s">
        <v>156</v>
      </c>
      <c r="B10" s="52">
        <v>9000</v>
      </c>
      <c r="C10" s="50">
        <f>B10/5</f>
        <v>1800</v>
      </c>
      <c r="D10" s="50">
        <f>C10</f>
        <v>1800</v>
      </c>
      <c r="E10" s="53">
        <f>B10-D10</f>
        <v>7200</v>
      </c>
    </row>
    <row r="11" spans="1:5">
      <c r="A11" s="8" t="s">
        <v>155</v>
      </c>
      <c r="B11" s="52">
        <v>9000</v>
      </c>
      <c r="C11" s="50">
        <f>B11/5</f>
        <v>1800</v>
      </c>
      <c r="D11" s="50">
        <f>C11+D10</f>
        <v>3600</v>
      </c>
      <c r="E11" s="53">
        <f>B11-D11</f>
        <v>5400</v>
      </c>
    </row>
    <row r="12" spans="1:5">
      <c r="A12" s="8" t="s">
        <v>154</v>
      </c>
      <c r="B12" s="52">
        <v>9000</v>
      </c>
      <c r="C12" s="50">
        <f>B12/5</f>
        <v>1800</v>
      </c>
      <c r="D12" s="50">
        <f>C12+D11</f>
        <v>5400</v>
      </c>
      <c r="E12" s="53">
        <f>B12-D12</f>
        <v>3600</v>
      </c>
    </row>
    <row r="13" spans="1:5">
      <c r="A13" s="8" t="s">
        <v>153</v>
      </c>
      <c r="B13" s="52">
        <v>9000</v>
      </c>
      <c r="C13" s="50">
        <f>B13/5</f>
        <v>1800</v>
      </c>
      <c r="D13" s="50">
        <f>C13+D12</f>
        <v>7200</v>
      </c>
      <c r="E13" s="53">
        <f>B13-D13</f>
        <v>1800</v>
      </c>
    </row>
    <row r="14" spans="1:5">
      <c r="A14" s="60" t="s">
        <v>152</v>
      </c>
      <c r="B14" s="52">
        <v>9000</v>
      </c>
      <c r="C14" s="50">
        <f>B14/5</f>
        <v>1800</v>
      </c>
      <c r="D14" s="50">
        <f>C14+D13</f>
        <v>9000</v>
      </c>
      <c r="E14" s="53">
        <f>B14-D14</f>
        <v>0</v>
      </c>
    </row>
    <row r="16" spans="1:5">
      <c r="A16" s="61" t="s">
        <v>162</v>
      </c>
    </row>
    <row r="17" spans="1:7">
      <c r="A17" s="61" t="s">
        <v>161</v>
      </c>
    </row>
    <row r="18" spans="1:7" ht="15.75" thickBot="1"/>
    <row r="19" spans="1:7" ht="15.75" thickBot="1">
      <c r="B19" s="65" t="s">
        <v>160</v>
      </c>
      <c r="C19" s="66"/>
      <c r="D19" s="67"/>
      <c r="E19" s="65" t="s">
        <v>159</v>
      </c>
      <c r="F19" s="66"/>
      <c r="G19" s="67"/>
    </row>
    <row r="20" spans="1:7" ht="30">
      <c r="A20" s="8" t="s">
        <v>117</v>
      </c>
      <c r="B20" s="54" t="s">
        <v>11</v>
      </c>
      <c r="C20" s="54" t="s">
        <v>158</v>
      </c>
      <c r="D20" s="54" t="s">
        <v>157</v>
      </c>
      <c r="E20" s="54" t="s">
        <v>11</v>
      </c>
      <c r="F20" s="54" t="s">
        <v>158</v>
      </c>
      <c r="G20" s="54" t="s">
        <v>157</v>
      </c>
    </row>
    <row r="21" spans="1:7">
      <c r="A21" s="8" t="s">
        <v>156</v>
      </c>
      <c r="B21" s="50">
        <f>C$10</f>
        <v>1800</v>
      </c>
      <c r="C21" s="50">
        <f>B21</f>
        <v>1800</v>
      </c>
      <c r="D21" s="53">
        <f>$E10</f>
        <v>7200</v>
      </c>
      <c r="E21" s="50">
        <f>B21</f>
        <v>1800</v>
      </c>
      <c r="F21" s="50">
        <f>E21</f>
        <v>1800</v>
      </c>
      <c r="G21" s="53">
        <f>$E10</f>
        <v>7200</v>
      </c>
    </row>
    <row r="22" spans="1:7">
      <c r="A22" s="8" t="s">
        <v>155</v>
      </c>
      <c r="B22" s="50">
        <f>C$10</f>
        <v>1800</v>
      </c>
      <c r="C22" s="50">
        <f>B22+C21</f>
        <v>3600</v>
      </c>
      <c r="D22" s="53">
        <f>$E11</f>
        <v>5400</v>
      </c>
      <c r="E22" s="50">
        <f>B22</f>
        <v>1800</v>
      </c>
      <c r="F22" s="50">
        <f>E22+F21</f>
        <v>3600</v>
      </c>
      <c r="G22" s="53">
        <f>$E11</f>
        <v>5400</v>
      </c>
    </row>
    <row r="23" spans="1:7">
      <c r="A23" s="8" t="s">
        <v>154</v>
      </c>
      <c r="B23" s="50">
        <f>C$10</f>
        <v>1800</v>
      </c>
      <c r="C23" s="50">
        <f>B23+C22</f>
        <v>5400</v>
      </c>
      <c r="D23" s="53">
        <f>$E12</f>
        <v>3600</v>
      </c>
      <c r="E23" s="50">
        <f>$G$22/2</f>
        <v>2700</v>
      </c>
      <c r="F23" s="50">
        <f>E23+F22</f>
        <v>6300</v>
      </c>
      <c r="G23" s="53">
        <f>$E12</f>
        <v>3600</v>
      </c>
    </row>
    <row r="24" spans="1:7">
      <c r="A24" s="8" t="s">
        <v>153</v>
      </c>
      <c r="B24" s="50">
        <f>C$10</f>
        <v>1800</v>
      </c>
      <c r="C24" s="50">
        <f>B24+C23</f>
        <v>7200</v>
      </c>
      <c r="D24" s="53">
        <f>$E13</f>
        <v>1800</v>
      </c>
      <c r="E24" s="50">
        <f>$G$22/2</f>
        <v>2700</v>
      </c>
      <c r="F24" s="50">
        <f>E24+F23</f>
        <v>9000</v>
      </c>
      <c r="G24" s="53">
        <f>$E13</f>
        <v>1800</v>
      </c>
    </row>
    <row r="25" spans="1:7">
      <c r="A25" s="60" t="s">
        <v>152</v>
      </c>
      <c r="B25" s="50">
        <f>C$10</f>
        <v>1800</v>
      </c>
      <c r="C25" s="50">
        <f>B25+C24</f>
        <v>9000</v>
      </c>
      <c r="D25" s="53">
        <f>$E14</f>
        <v>0</v>
      </c>
      <c r="E25" s="50">
        <f>F$10</f>
        <v>0</v>
      </c>
      <c r="F25" s="50"/>
      <c r="G25" s="53">
        <f>$E14</f>
        <v>0</v>
      </c>
    </row>
  </sheetData>
  <mergeCells count="3">
    <mergeCell ref="A8:E8"/>
    <mergeCell ref="B19:D19"/>
    <mergeCell ref="E19:G1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coquelicot</vt:lpstr>
      <vt:lpstr>Feuil2</vt:lpstr>
      <vt:lpstr>marguerite</vt:lpstr>
      <vt:lpstr>niel</vt:lpstr>
      <vt:lpstr>camion</vt:lpstr>
      <vt:lpstr>tulipe</vt:lpstr>
      <vt:lpstr>geranium</vt:lpstr>
      <vt:lpstr>EX 1</vt:lpstr>
      <vt:lpstr>EX2</vt:lpstr>
      <vt:lpstr>Feuil3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sergent</dc:creator>
  <cp:lastModifiedBy>Administrateur</cp:lastModifiedBy>
  <cp:lastPrinted>2010-11-25T12:13:55Z</cp:lastPrinted>
  <dcterms:created xsi:type="dcterms:W3CDTF">2009-10-16T15:10:37Z</dcterms:created>
  <dcterms:modified xsi:type="dcterms:W3CDTF">2010-11-25T12:19:21Z</dcterms:modified>
</cp:coreProperties>
</file>