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8915" windowHeight="8505" tabRatio="665" firstSheet="1" activeTab="4"/>
  </bookViews>
  <sheets>
    <sheet name="1-1) Type amortissement" sheetId="4" r:id="rId1"/>
    <sheet name="1-2) Tableau linéaire" sheetId="1" r:id="rId2"/>
    <sheet name="1-3) Tableau Fiscal degressif" sheetId="6" r:id="rId3"/>
    <sheet name="1-annexe)Tableau de coefficient" sheetId="7" r:id="rId4"/>
    <sheet name="2) Client douteux" sheetId="8" r:id="rId5"/>
    <sheet name="3)Stocks" sheetId="9" r:id="rId6"/>
  </sheets>
  <calcPr calcId="125725"/>
</workbook>
</file>

<file path=xl/calcChain.xml><?xml version="1.0" encoding="utf-8"?>
<calcChain xmlns="http://schemas.openxmlformats.org/spreadsheetml/2006/main">
  <c r="S21" i="6"/>
  <c r="N22"/>
  <c r="O22" s="1"/>
  <c r="M23" s="1"/>
  <c r="P29"/>
  <c r="P28"/>
  <c r="P27"/>
  <c r="P26"/>
  <c r="P25"/>
  <c r="P24"/>
  <c r="P23"/>
  <c r="P22"/>
  <c r="C40"/>
  <c r="C39"/>
  <c r="N23" l="1"/>
  <c r="O23" s="1"/>
  <c r="M24" s="1"/>
  <c r="N24" l="1"/>
  <c r="O24" l="1"/>
  <c r="M25" s="1"/>
  <c r="N25" l="1"/>
  <c r="O25"/>
  <c r="M26" s="1"/>
  <c r="G5" i="1"/>
  <c r="F9"/>
  <c r="F10"/>
  <c r="F11"/>
  <c r="G10"/>
  <c r="G9"/>
  <c r="C13"/>
  <c r="D6" i="9"/>
  <c r="C6"/>
  <c r="H24" s="1"/>
  <c r="G12" i="8"/>
  <c r="J24" i="9"/>
  <c r="O24"/>
  <c r="N23"/>
  <c r="O22"/>
  <c r="N21"/>
  <c r="O16"/>
  <c r="N17"/>
  <c r="O18"/>
  <c r="N15"/>
  <c r="O12"/>
  <c r="N11"/>
  <c r="O10"/>
  <c r="N9"/>
  <c r="N26" i="6" l="1"/>
  <c r="O26" s="1"/>
  <c r="M27" s="1"/>
  <c r="G11" i="1"/>
  <c r="G21" i="9"/>
  <c r="Q15" i="8"/>
  <c r="P14"/>
  <c r="G14"/>
  <c r="J15"/>
  <c r="H15"/>
  <c r="I14"/>
  <c r="J13"/>
  <c r="H13"/>
  <c r="I12"/>
  <c r="Q13"/>
  <c r="P5" i="6"/>
  <c r="P6" s="1"/>
  <c r="P7" s="1"/>
  <c r="P8" s="1"/>
  <c r="P9" s="1"/>
  <c r="P10" s="1"/>
  <c r="P11" s="1"/>
  <c r="P12" s="1"/>
  <c r="P13" s="1"/>
  <c r="K17"/>
  <c r="N17" s="1"/>
  <c r="K16"/>
  <c r="N16" s="1"/>
  <c r="L5"/>
  <c r="K5"/>
  <c r="C17"/>
  <c r="C18"/>
  <c r="F22"/>
  <c r="D22"/>
  <c r="E17"/>
  <c r="H17" s="1"/>
  <c r="E16"/>
  <c r="I16" s="1"/>
  <c r="C14"/>
  <c r="C13"/>
  <c r="E5"/>
  <c r="E11" s="1"/>
  <c r="F22" i="1"/>
  <c r="D22"/>
  <c r="N27" i="6" l="1"/>
  <c r="O27"/>
  <c r="M28" s="1"/>
  <c r="E10"/>
  <c r="O16"/>
  <c r="P12" i="8"/>
  <c r="L16" i="6"/>
  <c r="M17" s="1"/>
  <c r="K15"/>
  <c r="L17"/>
  <c r="G16"/>
  <c r="P14"/>
  <c r="P15" s="1"/>
  <c r="P16" s="1"/>
  <c r="P17" s="1"/>
  <c r="E14"/>
  <c r="F14" s="1"/>
  <c r="M5"/>
  <c r="K6"/>
  <c r="K8"/>
  <c r="K10"/>
  <c r="K12"/>
  <c r="K14"/>
  <c r="E15"/>
  <c r="K7"/>
  <c r="K9"/>
  <c r="K11"/>
  <c r="K13"/>
  <c r="O17"/>
  <c r="C15"/>
  <c r="G5" s="1"/>
  <c r="H5" s="1"/>
  <c r="F11"/>
  <c r="F5"/>
  <c r="E6"/>
  <c r="E8"/>
  <c r="E12"/>
  <c r="E13"/>
  <c r="F16"/>
  <c r="H16"/>
  <c r="G17"/>
  <c r="I17"/>
  <c r="E7"/>
  <c r="E9"/>
  <c r="F15"/>
  <c r="F17"/>
  <c r="I5" l="1"/>
  <c r="G15"/>
  <c r="N28"/>
  <c r="O28" s="1"/>
  <c r="M29" s="1"/>
  <c r="G14"/>
  <c r="Q17"/>
  <c r="N5"/>
  <c r="O5" s="1"/>
  <c r="L6" s="1"/>
  <c r="M6" s="1"/>
  <c r="O6" s="1"/>
  <c r="L7" s="1"/>
  <c r="Q5"/>
  <c r="F6"/>
  <c r="F7"/>
  <c r="G6"/>
  <c r="H6" s="1"/>
  <c r="F12"/>
  <c r="G11"/>
  <c r="F8"/>
  <c r="G7"/>
  <c r="R24" s="1"/>
  <c r="F9"/>
  <c r="F13"/>
  <c r="G13"/>
  <c r="G12"/>
  <c r="N29" l="1"/>
  <c r="O29"/>
  <c r="Q6"/>
  <c r="N6"/>
  <c r="M7"/>
  <c r="Q7" s="1"/>
  <c r="I6"/>
  <c r="I7" s="1"/>
  <c r="H7"/>
  <c r="N7" l="1"/>
  <c r="O7"/>
  <c r="L8" s="1"/>
  <c r="M8" l="1"/>
  <c r="N8" l="1"/>
  <c r="O8"/>
  <c r="L9" l="1"/>
  <c r="M9" l="1"/>
  <c r="N9" l="1"/>
  <c r="O9"/>
  <c r="L10" s="1"/>
  <c r="M10" l="1"/>
  <c r="O10" l="1"/>
  <c r="L11" s="1"/>
  <c r="N10"/>
  <c r="M11" l="1"/>
  <c r="Q11" s="1"/>
  <c r="N11" l="1"/>
  <c r="O11"/>
  <c r="L12" s="1"/>
  <c r="M12" s="1"/>
  <c r="Q12" s="1"/>
  <c r="F13" i="1"/>
  <c r="C14"/>
  <c r="M13" i="6" l="1"/>
  <c r="Q13" s="1"/>
  <c r="O12"/>
  <c r="N12"/>
  <c r="F14" i="1"/>
  <c r="G14" s="1"/>
  <c r="F16"/>
  <c r="F15"/>
  <c r="G15" s="1"/>
  <c r="F17"/>
  <c r="G13"/>
  <c r="F8"/>
  <c r="G8" s="1"/>
  <c r="F12"/>
  <c r="F7"/>
  <c r="G7" s="1"/>
  <c r="H15"/>
  <c r="F6"/>
  <c r="G6" s="1"/>
  <c r="C15"/>
  <c r="H11" l="1"/>
  <c r="H10"/>
  <c r="H5"/>
  <c r="I5" s="1"/>
  <c r="H12"/>
  <c r="L13" i="6"/>
  <c r="M14" s="1"/>
  <c r="Q14" s="1"/>
  <c r="G16" i="1"/>
  <c r="I16"/>
  <c r="I17" s="1"/>
  <c r="J16"/>
  <c r="J17" s="1"/>
  <c r="G17"/>
  <c r="H16"/>
  <c r="H17"/>
  <c r="H14"/>
  <c r="J5"/>
  <c r="H9"/>
  <c r="H6"/>
  <c r="G12"/>
  <c r="H13"/>
  <c r="H8"/>
  <c r="I22" s="1"/>
  <c r="H7"/>
  <c r="I6" l="1"/>
  <c r="O13" i="6"/>
  <c r="L14" s="1"/>
  <c r="M15" s="1"/>
  <c r="Q15" s="1"/>
  <c r="N13"/>
  <c r="J6" i="1"/>
  <c r="H21"/>
  <c r="J7"/>
  <c r="J8" s="1"/>
  <c r="J9" s="1"/>
  <c r="I7"/>
  <c r="I8" s="1"/>
  <c r="I9" s="1"/>
  <c r="J13"/>
  <c r="J14" s="1"/>
  <c r="J15" s="1"/>
  <c r="I13"/>
  <c r="I14" s="1"/>
  <c r="I15" s="1"/>
  <c r="J12" l="1"/>
  <c r="J10"/>
  <c r="J11" s="1"/>
  <c r="I12"/>
  <c r="I10"/>
  <c r="I11" s="1"/>
  <c r="O14" i="6"/>
  <c r="L15" s="1"/>
  <c r="M16" s="1"/>
  <c r="Q16" s="1"/>
  <c r="O15" l="1"/>
  <c r="N14"/>
  <c r="N15" s="1"/>
  <c r="F10" l="1"/>
  <c r="G9"/>
  <c r="Q9" s="1"/>
  <c r="G8"/>
  <c r="I8"/>
  <c r="G10"/>
  <c r="Q10" s="1"/>
  <c r="Q8" l="1"/>
  <c r="I22"/>
  <c r="H21"/>
  <c r="I9"/>
  <c r="I10" s="1"/>
  <c r="I11" s="1"/>
  <c r="I12" s="1"/>
  <c r="I13" s="1"/>
  <c r="I14" s="1"/>
  <c r="I15" s="1"/>
  <c r="H8"/>
  <c r="H9" s="1"/>
  <c r="H10" s="1"/>
  <c r="H11" s="1"/>
  <c r="H12" s="1"/>
  <c r="H13" s="1"/>
  <c r="H14" s="1"/>
  <c r="H15" s="1"/>
  <c r="I24" l="1"/>
  <c r="C23"/>
  <c r="E23" s="1"/>
  <c r="H23"/>
  <c r="D24"/>
  <c r="F24" s="1"/>
</calcChain>
</file>

<file path=xl/sharedStrings.xml><?xml version="1.0" encoding="utf-8"?>
<sst xmlns="http://schemas.openxmlformats.org/spreadsheetml/2006/main" count="108" uniqueCount="79">
  <si>
    <t>Frais d'etablissement</t>
  </si>
  <si>
    <t>Année</t>
  </si>
  <si>
    <t>Nb jour total</t>
  </si>
  <si>
    <t>Amortissement par an</t>
  </si>
  <si>
    <t>Amortissement premiere année</t>
  </si>
  <si>
    <t>ENTREZ LES DONNEES ICI</t>
  </si>
  <si>
    <t>RESULTAT INTERMEDIAIRES</t>
  </si>
  <si>
    <t>TABLEAU D'ARMOTISSEMENT</t>
  </si>
  <si>
    <t>Valeur à amortir</t>
  </si>
  <si>
    <t>Année voulue</t>
  </si>
  <si>
    <t>ECRITURES</t>
  </si>
  <si>
    <t>Dotations aux amortissements et aux provisions</t>
  </si>
  <si>
    <t>Annuité</t>
  </si>
  <si>
    <t>Base nette</t>
  </si>
  <si>
    <t>Cumul annuités</t>
  </si>
  <si>
    <t>Type d'armotissement</t>
  </si>
  <si>
    <t>Amortissements des immobilisations incorporelles</t>
  </si>
  <si>
    <t>Frais de recherche et développement</t>
  </si>
  <si>
    <t>Concessions et droits similaires,brevets,licences,logiciels,droits et valeurs similaires</t>
  </si>
  <si>
    <t>Fonds commercial</t>
  </si>
  <si>
    <t>Autres immobilisations incorporelles</t>
  </si>
  <si>
    <t>Amortissement des immobilisations corporelles</t>
  </si>
  <si>
    <t>Terrains de gisement</t>
  </si>
  <si>
    <t>Agencements, aménagements de terrains</t>
  </si>
  <si>
    <t>Construction</t>
  </si>
  <si>
    <t>Installations techniques, matériel et outillages industriels</t>
  </si>
  <si>
    <t>Construction sur sol d'autrui</t>
  </si>
  <si>
    <t>Autres immobilisations corporelles</t>
  </si>
  <si>
    <t>X</t>
  </si>
  <si>
    <t>Cochez le type d'amortissement avec une croix X</t>
  </si>
  <si>
    <t>RESULTATS INTERMEDIAIRES</t>
  </si>
  <si>
    <t>Numero jour (mis en service)</t>
  </si>
  <si>
    <t>Numero mois (mis en service)</t>
  </si>
  <si>
    <t>année (mis en service)</t>
  </si>
  <si>
    <t>Numero jour (acquis)</t>
  </si>
  <si>
    <t>Coefficient</t>
  </si>
  <si>
    <t>Numero mois (acquis)</t>
  </si>
  <si>
    <t>année (acquis)</t>
  </si>
  <si>
    <t>Taux linéaire</t>
  </si>
  <si>
    <t>Taux dégressif</t>
  </si>
  <si>
    <t>TABLEAU D'ARMOTISSEMENT LINEAIRE</t>
  </si>
  <si>
    <t>TABLEAU D'ARMOTISSEMENT DEGRESSIF</t>
  </si>
  <si>
    <t>Base</t>
  </si>
  <si>
    <t>Taux</t>
  </si>
  <si>
    <t>Derog</t>
  </si>
  <si>
    <t>Dotations aux amortissements et aux provisions - Charges d'exploitation</t>
  </si>
  <si>
    <t>Créance</t>
  </si>
  <si>
    <t>Cochez la bonne case</t>
  </si>
  <si>
    <t>Garde notre confiance</t>
  </si>
  <si>
    <t>Situation délicate, on augmente la depreciation</t>
  </si>
  <si>
    <t>En liquidation on recevra rien</t>
  </si>
  <si>
    <t>Depréciation (euros )</t>
  </si>
  <si>
    <t>Dépréciation (%)</t>
  </si>
  <si>
    <t>Dépréciation Finale</t>
  </si>
  <si>
    <t>Nouveau client , on déprécie de X%</t>
  </si>
  <si>
    <t>Stock de matieres premieres</t>
  </si>
  <si>
    <t>Stock de produits finis</t>
  </si>
  <si>
    <t>Quantité dans balance</t>
  </si>
  <si>
    <t>Quantité après inventaire</t>
  </si>
  <si>
    <t>Stocks et approvisionnement</t>
  </si>
  <si>
    <t>Variation de stock de matieres premières</t>
  </si>
  <si>
    <t>Variation des stock de produits</t>
  </si>
  <si>
    <t>Stocks de produits</t>
  </si>
  <si>
    <t>Provisions pour dépréciation des matières premières et fourniture</t>
  </si>
  <si>
    <t>Reprises sur amortissements et provisions</t>
  </si>
  <si>
    <t>Dépréciation des matières premières</t>
  </si>
  <si>
    <t>Dépréciations des autres approvisionnements</t>
  </si>
  <si>
    <t>Dépréciation des en-cours de production de biens</t>
  </si>
  <si>
    <t>Dépréciation des en-cours de production de services</t>
  </si>
  <si>
    <t>Dépréciation des stocks de produits</t>
  </si>
  <si>
    <t>Dépréciation des stocks de marchandises</t>
  </si>
  <si>
    <t>valeur nette comptable</t>
  </si>
  <si>
    <t>annuité</t>
  </si>
  <si>
    <t>valeur résiduelle</t>
  </si>
  <si>
    <t>année</t>
  </si>
  <si>
    <t>valeur net comptable</t>
  </si>
  <si>
    <t>anuité</t>
  </si>
  <si>
    <t>coef</t>
  </si>
  <si>
    <t>derogatoire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</si>
</sst>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99">
    <xf numFmtId="0" fontId="0" fillId="0" borderId="0" xfId="0"/>
    <xf numFmtId="0" fontId="0" fillId="4" borderId="2" xfId="0" applyFill="1" applyBorder="1"/>
    <xf numFmtId="0" fontId="0" fillId="4" borderId="4" xfId="0" applyFill="1" applyBorder="1"/>
    <xf numFmtId="0" fontId="0" fillId="4" borderId="6" xfId="0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6" borderId="3" xfId="0" applyFont="1" applyFill="1" applyBorder="1"/>
    <xf numFmtId="0" fontId="1" fillId="6" borderId="5" xfId="0" applyFont="1" applyFill="1" applyBorder="1"/>
    <xf numFmtId="0" fontId="1" fillId="6" borderId="1" xfId="0" applyFont="1" applyFill="1" applyBorder="1"/>
    <xf numFmtId="0" fontId="0" fillId="7" borderId="2" xfId="0" applyFill="1" applyBorder="1"/>
    <xf numFmtId="0" fontId="0" fillId="7" borderId="4" xfId="0" applyFill="1" applyBorder="1"/>
    <xf numFmtId="2" fontId="0" fillId="7" borderId="6" xfId="0" applyNumberFormat="1" applyFill="1" applyBorder="1"/>
    <xf numFmtId="0" fontId="3" fillId="0" borderId="0" xfId="0" applyFont="1"/>
    <xf numFmtId="0" fontId="0" fillId="8" borderId="0" xfId="0" applyFill="1"/>
    <xf numFmtId="0" fontId="1" fillId="8" borderId="0" xfId="0" applyFont="1" applyFill="1" applyBorder="1"/>
    <xf numFmtId="0" fontId="0" fillId="8" borderId="0" xfId="0" applyFill="1" applyBorder="1"/>
    <xf numFmtId="0" fontId="3" fillId="8" borderId="0" xfId="0" applyFont="1" applyFill="1" applyBorder="1"/>
    <xf numFmtId="0" fontId="0" fillId="5" borderId="1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2" fontId="0" fillId="7" borderId="17" xfId="0" applyNumberFormat="1" applyFill="1" applyBorder="1" applyAlignment="1">
      <alignment horizontal="center"/>
    </xf>
    <xf numFmtId="2" fontId="0" fillId="9" borderId="17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2" fontId="0" fillId="7" borderId="18" xfId="0" applyNumberFormat="1" applyFill="1" applyBorder="1" applyAlignment="1">
      <alignment horizontal="center"/>
    </xf>
    <xf numFmtId="2" fontId="0" fillId="9" borderId="18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2" fontId="0" fillId="7" borderId="19" xfId="0" applyNumberFormat="1" applyFill="1" applyBorder="1" applyAlignment="1">
      <alignment horizontal="center"/>
    </xf>
    <xf numFmtId="2" fontId="0" fillId="9" borderId="19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8" borderId="0" xfId="0" applyNumberFormat="1" applyFill="1" applyBorder="1"/>
    <xf numFmtId="0" fontId="0" fillId="5" borderId="1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2" fontId="0" fillId="7" borderId="16" xfId="0" applyNumberFormat="1" applyFill="1" applyBorder="1" applyAlignment="1">
      <alignment horizontal="center"/>
    </xf>
    <xf numFmtId="2" fontId="0" fillId="9" borderId="16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0" fontId="3" fillId="8" borderId="0" xfId="0" applyFont="1" applyFill="1"/>
    <xf numFmtId="0" fontId="4" fillId="8" borderId="0" xfId="0" applyFont="1" applyFill="1"/>
    <xf numFmtId="0" fontId="5" fillId="8" borderId="0" xfId="0" applyFont="1" applyFill="1"/>
    <xf numFmtId="0" fontId="2" fillId="8" borderId="24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8" borderId="2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5" fillId="8" borderId="0" xfId="0" applyFont="1" applyFill="1" applyAlignment="1"/>
    <xf numFmtId="0" fontId="0" fillId="8" borderId="9" xfId="0" applyFill="1" applyBorder="1" applyAlignment="1">
      <alignment horizontal="center" vertical="center"/>
    </xf>
    <xf numFmtId="2" fontId="0" fillId="8" borderId="11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vertical="center" wrapText="1"/>
    </xf>
    <xf numFmtId="0" fontId="0" fillId="0" borderId="27" xfId="0" applyBorder="1"/>
    <xf numFmtId="0" fontId="0" fillId="8" borderId="0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8" xfId="0" applyFill="1" applyBorder="1"/>
    <xf numFmtId="2" fontId="0" fillId="7" borderId="4" xfId="0" applyNumberFormat="1" applyFill="1" applyBorder="1"/>
    <xf numFmtId="14" fontId="0" fillId="8" borderId="0" xfId="0" applyNumberFormat="1" applyFill="1"/>
    <xf numFmtId="2" fontId="0" fillId="8" borderId="0" xfId="0" applyNumberFormat="1" applyFill="1"/>
    <xf numFmtId="10" fontId="0" fillId="7" borderId="6" xfId="0" applyNumberFormat="1" applyFill="1" applyBorder="1"/>
    <xf numFmtId="0" fontId="0" fillId="8" borderId="9" xfId="0" applyFill="1" applyBorder="1"/>
    <xf numFmtId="2" fontId="0" fillId="8" borderId="11" xfId="0" applyNumberFormat="1" applyFill="1" applyBorder="1"/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vertical="center" wrapText="1"/>
    </xf>
    <xf numFmtId="2" fontId="0" fillId="8" borderId="8" xfId="0" applyNumberFormat="1" applyFill="1" applyBorder="1"/>
    <xf numFmtId="0" fontId="0" fillId="8" borderId="27" xfId="0" applyFill="1" applyBorder="1"/>
    <xf numFmtId="0" fontId="0" fillId="8" borderId="15" xfId="0" applyFill="1" applyBorder="1"/>
    <xf numFmtId="0" fontId="0" fillId="8" borderId="29" xfId="0" applyFill="1" applyBorder="1" applyAlignment="1">
      <alignment horizontal="left" vertical="center"/>
    </xf>
    <xf numFmtId="0" fontId="0" fillId="8" borderId="30" xfId="0" applyFill="1" applyBorder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1" fontId="1" fillId="11" borderId="21" xfId="0" applyNumberFormat="1" applyFont="1" applyFill="1" applyBorder="1" applyAlignment="1">
      <alignment horizontal="center" vertical="center"/>
    </xf>
    <xf numFmtId="1" fontId="1" fillId="11" borderId="22" xfId="0" applyNumberFormat="1" applyFont="1" applyFill="1" applyBorder="1" applyAlignment="1">
      <alignment horizontal="center" vertical="center"/>
    </xf>
    <xf numFmtId="1" fontId="1" fillId="11" borderId="23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0" borderId="0" xfId="0" applyFont="1" applyBorder="1"/>
    <xf numFmtId="0" fontId="7" fillId="10" borderId="20" xfId="0" applyFont="1" applyFill="1" applyBorder="1"/>
    <xf numFmtId="0" fontId="8" fillId="10" borderId="12" xfId="0" applyFont="1" applyFill="1" applyBorder="1"/>
    <xf numFmtId="0" fontId="8" fillId="10" borderId="9" xfId="0" applyFont="1" applyFill="1" applyBorder="1" applyAlignment="1">
      <alignment horizontal="center" vertical="center"/>
    </xf>
    <xf numFmtId="0" fontId="8" fillId="6" borderId="11" xfId="0" applyFont="1" applyFill="1" applyBorder="1"/>
    <xf numFmtId="0" fontId="8" fillId="6" borderId="31" xfId="0" applyFont="1" applyFill="1" applyBorder="1"/>
    <xf numFmtId="0" fontId="7" fillId="4" borderId="7" xfId="0" applyFont="1" applyFill="1" applyBorder="1"/>
    <xf numFmtId="0" fontId="7" fillId="4" borderId="10" xfId="0" applyFont="1" applyFill="1" applyBorder="1"/>
    <xf numFmtId="0" fontId="8" fillId="11" borderId="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10" fontId="5" fillId="9" borderId="8" xfId="0" applyNumberFormat="1" applyFont="1" applyFill="1" applyBorder="1" applyAlignment="1">
      <alignment horizontal="center" vertical="center"/>
    </xf>
    <xf numFmtId="0" fontId="8" fillId="10" borderId="13" xfId="0" applyFont="1" applyFill="1" applyBorder="1"/>
    <xf numFmtId="0" fontId="8" fillId="6" borderId="29" xfId="0" applyFont="1" applyFill="1" applyBorder="1"/>
    <xf numFmtId="0" fontId="8" fillId="10" borderId="9" xfId="0" applyFont="1" applyFill="1" applyBorder="1"/>
    <xf numFmtId="0" fontId="8" fillId="10" borderId="20" xfId="0" applyFont="1" applyFill="1" applyBorder="1"/>
    <xf numFmtId="0" fontId="0" fillId="6" borderId="28" xfId="0" applyFill="1" applyBorder="1"/>
    <xf numFmtId="2" fontId="0" fillId="7" borderId="32" xfId="0" applyNumberFormat="1" applyFill="1" applyBorder="1" applyAlignment="1">
      <alignment horizontal="center"/>
    </xf>
    <xf numFmtId="2" fontId="0" fillId="9" borderId="32" xfId="0" applyNumberFormat="1" applyFill="1" applyBorder="1" applyAlignment="1">
      <alignment horizontal="center"/>
    </xf>
    <xf numFmtId="2" fontId="0" fillId="4" borderId="32" xfId="0" applyNumberFormat="1" applyFill="1" applyBorder="1" applyAlignment="1">
      <alignment horizontal="center"/>
    </xf>
    <xf numFmtId="10" fontId="0" fillId="14" borderId="32" xfId="0" applyNumberFormat="1" applyFill="1" applyBorder="1"/>
    <xf numFmtId="2" fontId="0" fillId="3" borderId="32" xfId="0" applyNumberFormat="1" applyFill="1" applyBorder="1" applyAlignment="1">
      <alignment horizontal="center"/>
    </xf>
    <xf numFmtId="2" fontId="0" fillId="14" borderId="32" xfId="0" applyNumberFormat="1" applyFill="1" applyBorder="1"/>
    <xf numFmtId="2" fontId="0" fillId="15" borderId="34" xfId="0" applyNumberFormat="1" applyFill="1" applyBorder="1"/>
    <xf numFmtId="0" fontId="0" fillId="5" borderId="33" xfId="0" applyFill="1" applyBorder="1" applyAlignment="1">
      <alignment horizontal="center"/>
    </xf>
    <xf numFmtId="1" fontId="0" fillId="5" borderId="35" xfId="0" applyNumberFormat="1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2" fontId="0" fillId="7" borderId="36" xfId="0" applyNumberFormat="1" applyFill="1" applyBorder="1" applyAlignment="1">
      <alignment horizontal="center"/>
    </xf>
    <xf numFmtId="2" fontId="0" fillId="9" borderId="36" xfId="0" applyNumberFormat="1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0" fontId="0" fillId="14" borderId="36" xfId="0" applyFill="1" applyBorder="1"/>
    <xf numFmtId="0" fontId="0" fillId="15" borderId="37" xfId="0" applyFill="1" applyBorder="1"/>
    <xf numFmtId="1" fontId="0" fillId="5" borderId="38" xfId="0" applyNumberForma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2" fontId="0" fillId="7" borderId="39" xfId="0" applyNumberFormat="1" applyFill="1" applyBorder="1" applyAlignment="1">
      <alignment horizontal="center"/>
    </xf>
    <xf numFmtId="2" fontId="0" fillId="9" borderId="39" xfId="0" applyNumberFormat="1" applyFill="1" applyBorder="1" applyAlignment="1">
      <alignment horizontal="center"/>
    </xf>
    <xf numFmtId="2" fontId="0" fillId="4" borderId="39" xfId="0" applyNumberFormat="1" applyFill="1" applyBorder="1" applyAlignment="1">
      <alignment horizontal="center"/>
    </xf>
    <xf numFmtId="10" fontId="0" fillId="14" borderId="39" xfId="0" applyNumberFormat="1" applyFill="1" applyBorder="1"/>
    <xf numFmtId="2" fontId="0" fillId="15" borderId="40" xfId="0" applyNumberFormat="1" applyFill="1" applyBorder="1"/>
    <xf numFmtId="2" fontId="0" fillId="4" borderId="16" xfId="0" applyNumberFormat="1" applyFill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0" fillId="12" borderId="41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6" fillId="0" borderId="0" xfId="0" applyFont="1"/>
    <xf numFmtId="0" fontId="6" fillId="10" borderId="43" xfId="0" applyFont="1" applyFill="1" applyBorder="1"/>
    <xf numFmtId="0" fontId="6" fillId="10" borderId="12" xfId="0" applyFont="1" applyFill="1" applyBorder="1"/>
    <xf numFmtId="0" fontId="6" fillId="10" borderId="15" xfId="0" applyFont="1" applyFill="1" applyBorder="1"/>
    <xf numFmtId="0" fontId="6" fillId="10" borderId="9" xfId="0" applyFont="1" applyFill="1" applyBorder="1"/>
    <xf numFmtId="0" fontId="6" fillId="10" borderId="27" xfId="0" applyFont="1" applyFill="1" applyBorder="1"/>
    <xf numFmtId="0" fontId="6" fillId="10" borderId="45" xfId="0" applyFont="1" applyFill="1" applyBorder="1"/>
    <xf numFmtId="0" fontId="6" fillId="6" borderId="11" xfId="0" applyFont="1" applyFill="1" applyBorder="1"/>
    <xf numFmtId="0" fontId="6" fillId="6" borderId="8" xfId="0" applyFont="1" applyFill="1" applyBorder="1"/>
    <xf numFmtId="0" fontId="6" fillId="6" borderId="6" xfId="0" applyFont="1" applyFill="1" applyBorder="1"/>
    <xf numFmtId="0" fontId="6" fillId="6" borderId="4" xfId="0" applyFont="1" applyFill="1" applyBorder="1"/>
    <xf numFmtId="0" fontId="6" fillId="6" borderId="10" xfId="0" applyFont="1" applyFill="1" applyBorder="1"/>
    <xf numFmtId="0" fontId="5" fillId="4" borderId="27" xfId="0" applyFont="1" applyFill="1" applyBorder="1"/>
    <xf numFmtId="0" fontId="5" fillId="4" borderId="30" xfId="0" applyFont="1" applyFill="1" applyBorder="1"/>
    <xf numFmtId="0" fontId="5" fillId="4" borderId="43" xfId="0" applyFont="1" applyFill="1" applyBorder="1"/>
    <xf numFmtId="0" fontId="5" fillId="4" borderId="28" xfId="0" applyFont="1" applyFill="1" applyBorder="1"/>
    <xf numFmtId="0" fontId="5" fillId="4" borderId="45" xfId="0" applyFont="1" applyFill="1" applyBorder="1"/>
    <xf numFmtId="0" fontId="5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9" fontId="0" fillId="8" borderId="0" xfId="1" applyFont="1" applyFill="1"/>
    <xf numFmtId="0" fontId="0" fillId="0" borderId="0" xfId="0"/>
    <xf numFmtId="3" fontId="0" fillId="0" borderId="0" xfId="0" applyNumberFormat="1"/>
    <xf numFmtId="0" fontId="0" fillId="8" borderId="32" xfId="0" applyFill="1" applyBorder="1"/>
    <xf numFmtId="2" fontId="0" fillId="8" borderId="32" xfId="0" applyNumberFormat="1" applyFill="1" applyBorder="1"/>
    <xf numFmtId="0" fontId="0" fillId="17" borderId="32" xfId="0" applyFill="1" applyBorder="1"/>
    <xf numFmtId="2" fontId="0" fillId="17" borderId="32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8" borderId="28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left" vertical="center" wrapText="1"/>
    </xf>
    <xf numFmtId="0" fontId="0" fillId="8" borderId="20" xfId="0" applyFill="1" applyBorder="1" applyAlignment="1">
      <alignment horizontal="left" vertical="center" wrapText="1"/>
    </xf>
    <xf numFmtId="0" fontId="0" fillId="8" borderId="28" xfId="0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4" borderId="4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2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45" xfId="0" applyFont="1" applyFill="1" applyBorder="1" applyAlignment="1">
      <alignment horizontal="left"/>
    </xf>
    <xf numFmtId="0" fontId="5" fillId="4" borderId="28" xfId="0" applyFont="1" applyFill="1" applyBorder="1" applyAlignment="1">
      <alignment horizontal="left"/>
    </xf>
    <xf numFmtId="0" fontId="5" fillId="4" borderId="3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</cellXfs>
  <cellStyles count="2">
    <cellStyle name="Normal" xfId="0" builtinId="0"/>
    <cellStyle name="Pourcentage" xfId="1" builtinId="5"/>
  </cellStyles>
  <dxfs count="9">
    <dxf>
      <font>
        <color theme="6" tint="-0.499984740745262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7"/>
  <sheetViews>
    <sheetView workbookViewId="0">
      <selection activeCell="B17" sqref="B17"/>
    </sheetView>
  </sheetViews>
  <sheetFormatPr baseColWidth="10" defaultRowHeight="15"/>
  <cols>
    <col min="1" max="1" width="3.85546875" style="14" customWidth="1"/>
    <col min="2" max="2" width="3.28515625" style="14" customWidth="1"/>
    <col min="3" max="3" width="5.7109375" style="14" customWidth="1"/>
    <col min="4" max="4" width="6.28515625" style="14" customWidth="1"/>
    <col min="5" max="5" width="77.140625" style="14" bestFit="1" customWidth="1"/>
    <col min="6" max="16384" width="11.42578125" style="14"/>
  </cols>
  <sheetData>
    <row r="1" spans="2:5">
      <c r="B1" s="14" t="s">
        <v>29</v>
      </c>
    </row>
    <row r="2" spans="2:5" ht="21">
      <c r="C2" s="40" t="s">
        <v>15</v>
      </c>
    </row>
    <row r="4" spans="2:5" ht="16.5" thickBot="1">
      <c r="C4" s="41">
        <v>280</v>
      </c>
      <c r="D4" s="46" t="s">
        <v>16</v>
      </c>
      <c r="E4" s="46"/>
    </row>
    <row r="5" spans="2:5">
      <c r="B5" s="42"/>
      <c r="D5" s="14">
        <v>2801</v>
      </c>
      <c r="E5" s="14" t="s">
        <v>0</v>
      </c>
    </row>
    <row r="6" spans="2:5">
      <c r="B6" s="43"/>
      <c r="D6" s="14">
        <v>2803</v>
      </c>
      <c r="E6" s="14" t="s">
        <v>17</v>
      </c>
    </row>
    <row r="7" spans="2:5">
      <c r="B7" s="43"/>
      <c r="D7" s="14">
        <v>2805</v>
      </c>
      <c r="E7" s="14" t="s">
        <v>18</v>
      </c>
    </row>
    <row r="8" spans="2:5">
      <c r="B8" s="43"/>
      <c r="D8" s="14">
        <v>2807</v>
      </c>
      <c r="E8" s="14" t="s">
        <v>19</v>
      </c>
    </row>
    <row r="9" spans="2:5" ht="15.75" thickBot="1">
      <c r="B9" s="44"/>
      <c r="D9" s="14">
        <v>2808</v>
      </c>
      <c r="E9" s="14" t="s">
        <v>20</v>
      </c>
    </row>
    <row r="10" spans="2:5">
      <c r="B10" s="45"/>
    </row>
    <row r="11" spans="2:5" ht="16.5" thickBot="1">
      <c r="B11" s="45"/>
      <c r="C11" s="41">
        <v>281</v>
      </c>
      <c r="D11" s="46" t="s">
        <v>21</v>
      </c>
      <c r="E11" s="46"/>
    </row>
    <row r="12" spans="2:5">
      <c r="B12" s="42"/>
      <c r="D12" s="14">
        <v>2811</v>
      </c>
      <c r="E12" s="14" t="s">
        <v>22</v>
      </c>
    </row>
    <row r="13" spans="2:5">
      <c r="B13" s="43"/>
      <c r="D13" s="14">
        <v>2812</v>
      </c>
      <c r="E13" s="14" t="s">
        <v>23</v>
      </c>
    </row>
    <row r="14" spans="2:5">
      <c r="B14" s="43" t="s">
        <v>28</v>
      </c>
      <c r="D14" s="14">
        <v>2813</v>
      </c>
      <c r="E14" s="14" t="s">
        <v>24</v>
      </c>
    </row>
    <row r="15" spans="2:5">
      <c r="B15" s="43"/>
      <c r="D15" s="14">
        <v>2814</v>
      </c>
      <c r="E15" s="14" t="s">
        <v>26</v>
      </c>
    </row>
    <row r="16" spans="2:5">
      <c r="B16" s="43" t="s">
        <v>28</v>
      </c>
      <c r="D16" s="14">
        <v>2815</v>
      </c>
      <c r="E16" s="14" t="s">
        <v>25</v>
      </c>
    </row>
    <row r="17" spans="2:5" ht="15.75" thickBot="1">
      <c r="B17" s="44"/>
      <c r="D17" s="14">
        <v>2818</v>
      </c>
      <c r="E17" s="14" t="s">
        <v>27</v>
      </c>
    </row>
  </sheetData>
  <conditionalFormatting sqref="D5:E17">
    <cfRule type="expression" dxfId="8" priority="1">
      <formula>AND($B5="X")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4"/>
  <sheetViews>
    <sheetView topLeftCell="E1" zoomScale="82" zoomScaleNormal="82" workbookViewId="0">
      <selection activeCell="J29" sqref="J29"/>
    </sheetView>
  </sheetViews>
  <sheetFormatPr baseColWidth="10" defaultRowHeight="15"/>
  <cols>
    <col min="1" max="1" width="6" customWidth="1"/>
    <col min="2" max="2" width="29.85546875" bestFit="1" customWidth="1"/>
    <col min="6" max="6" width="7.7109375" customWidth="1"/>
    <col min="7" max="7" width="15.28515625" bestFit="1" customWidth="1"/>
    <col min="8" max="8" width="10.7109375" customWidth="1"/>
    <col min="9" max="9" width="14.85546875" bestFit="1" customWidth="1"/>
    <col min="10" max="10" width="10.7109375" customWidth="1"/>
    <col min="13" max="13" width="22.5703125" customWidth="1"/>
    <col min="17" max="18" width="11.42578125" style="169"/>
  </cols>
  <sheetData>
    <row r="1" spans="1:24" ht="8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4" ht="19.5" thickBot="1">
      <c r="A2" s="14"/>
      <c r="B2" s="39" t="s">
        <v>5</v>
      </c>
      <c r="C2" s="14"/>
      <c r="D2" s="14"/>
      <c r="E2" s="14"/>
      <c r="F2" s="39" t="s">
        <v>7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4" ht="15.75" thickBot="1">
      <c r="A3" s="14"/>
      <c r="B3" s="4" t="s">
        <v>8</v>
      </c>
      <c r="C3" s="1">
        <v>50000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4" ht="15.75" thickBot="1">
      <c r="A4" s="14"/>
      <c r="B4" s="5" t="s">
        <v>1</v>
      </c>
      <c r="C4" s="2">
        <v>5</v>
      </c>
      <c r="D4" s="14"/>
      <c r="E4" s="14"/>
      <c r="F4" s="34" t="s">
        <v>1</v>
      </c>
      <c r="G4" s="35" t="s">
        <v>8</v>
      </c>
      <c r="H4" s="36" t="s">
        <v>12</v>
      </c>
      <c r="I4" s="37" t="s">
        <v>14</v>
      </c>
      <c r="J4" s="38" t="s">
        <v>13</v>
      </c>
      <c r="K4" s="14"/>
    </row>
    <row r="5" spans="1:24">
      <c r="A5" s="14"/>
      <c r="B5" s="5" t="s">
        <v>31</v>
      </c>
      <c r="C5" s="2">
        <v>1</v>
      </c>
      <c r="D5" s="14"/>
      <c r="E5" s="14"/>
      <c r="F5" s="18">
        <v>2011</v>
      </c>
      <c r="G5" s="19">
        <f t="shared" ref="G5:G12" si="0">IF(F5&lt;&gt;"",$C$3,"")</f>
        <v>50000</v>
      </c>
      <c r="H5" s="20">
        <f>C15</f>
        <v>5000</v>
      </c>
      <c r="I5" s="21">
        <f>H5</f>
        <v>5000</v>
      </c>
      <c r="J5" s="22">
        <f>G5-H5</f>
        <v>45000</v>
      </c>
      <c r="K5" s="14"/>
      <c r="V5" s="169"/>
      <c r="W5" s="169"/>
      <c r="X5" s="169"/>
    </row>
    <row r="6" spans="1:24">
      <c r="A6" s="14"/>
      <c r="B6" s="5" t="s">
        <v>32</v>
      </c>
      <c r="C6" s="2">
        <v>7</v>
      </c>
      <c r="D6" s="14"/>
      <c r="E6" s="14"/>
      <c r="F6" s="23">
        <f>IF($C$4&gt;0,$F$5+1,"")</f>
        <v>2012</v>
      </c>
      <c r="G6" s="24">
        <f t="shared" si="0"/>
        <v>50000</v>
      </c>
      <c r="H6" s="25">
        <f t="shared" ref="H6:H15" si="1">IF(AND(F7="",F8="",F6=""),"",IF(F7&lt;&gt;"",$C$14,$C$14-$C$15))</f>
        <v>10000</v>
      </c>
      <c r="I6" s="26">
        <f t="shared" ref="I6:I13" si="2">IF(F6="","",I5+H6)</f>
        <v>15000</v>
      </c>
      <c r="J6" s="27">
        <f t="shared" ref="J6:J13" si="3">IF(F6="","",J5-H6)</f>
        <v>35000</v>
      </c>
      <c r="K6" s="14"/>
      <c r="V6" s="169"/>
      <c r="W6" s="169"/>
      <c r="X6" s="169"/>
    </row>
    <row r="7" spans="1:24">
      <c r="A7" s="14"/>
      <c r="B7" s="5" t="s">
        <v>33</v>
      </c>
      <c r="C7" s="2">
        <v>2011</v>
      </c>
      <c r="D7" s="14"/>
      <c r="E7" s="14"/>
      <c r="F7" s="23">
        <f>IF($C$4&gt;1,$F$5+2,"")</f>
        <v>2013</v>
      </c>
      <c r="G7" s="24">
        <f t="shared" si="0"/>
        <v>50000</v>
      </c>
      <c r="H7" s="25">
        <f t="shared" si="1"/>
        <v>10000</v>
      </c>
      <c r="I7" s="26">
        <f t="shared" si="2"/>
        <v>25000</v>
      </c>
      <c r="J7" s="27">
        <f t="shared" si="3"/>
        <v>25000</v>
      </c>
      <c r="K7" s="14"/>
      <c r="V7" s="169"/>
      <c r="W7" s="169"/>
      <c r="X7" s="169"/>
    </row>
    <row r="8" spans="1:24" ht="15.75" thickBot="1">
      <c r="A8" s="14"/>
      <c r="B8" s="6" t="s">
        <v>9</v>
      </c>
      <c r="C8" s="3">
        <v>2013</v>
      </c>
      <c r="D8" s="14"/>
      <c r="E8" s="14"/>
      <c r="F8" s="23">
        <f>IF($C$4&gt;2,$F$5+3,"")</f>
        <v>2014</v>
      </c>
      <c r="G8" s="24">
        <f t="shared" si="0"/>
        <v>50000</v>
      </c>
      <c r="H8" s="25">
        <f t="shared" si="1"/>
        <v>10000</v>
      </c>
      <c r="I8" s="26">
        <f t="shared" si="2"/>
        <v>35000</v>
      </c>
      <c r="J8" s="27">
        <f t="shared" si="3"/>
        <v>15000</v>
      </c>
      <c r="K8" s="14"/>
      <c r="V8" s="169"/>
      <c r="W8" s="169"/>
      <c r="X8" s="169"/>
    </row>
    <row r="9" spans="1:24">
      <c r="A9" s="14"/>
      <c r="B9" s="14"/>
      <c r="C9" s="14"/>
      <c r="D9" s="14"/>
      <c r="E9" s="14"/>
      <c r="F9" s="23">
        <f>IF($C$4&gt;3,$F$5+4,"")</f>
        <v>2015</v>
      </c>
      <c r="G9" s="24">
        <f t="shared" si="0"/>
        <v>50000</v>
      </c>
      <c r="H9" s="25">
        <f>IF(AND(F10="",F11="",F9=""),"",IF(F10&lt;&gt;"",$C$14,$C$14-$C$15))</f>
        <v>10000</v>
      </c>
      <c r="I9" s="26">
        <f t="shared" si="2"/>
        <v>45000</v>
      </c>
      <c r="J9" s="27">
        <f t="shared" si="3"/>
        <v>5000</v>
      </c>
      <c r="K9" s="14"/>
      <c r="V9" s="169"/>
      <c r="W9" s="169"/>
      <c r="X9" s="169"/>
    </row>
    <row r="10" spans="1:24" s="14" customFormat="1">
      <c r="B10" s="15"/>
      <c r="C10" s="16"/>
      <c r="F10" s="23">
        <f>IF($C$4&gt;4,$F$5+5,"")</f>
        <v>2016</v>
      </c>
      <c r="G10" s="24">
        <f t="shared" si="0"/>
        <v>50000</v>
      </c>
      <c r="H10" s="25">
        <f t="shared" si="1"/>
        <v>5000</v>
      </c>
      <c r="I10" s="26">
        <f t="shared" si="2"/>
        <v>50000</v>
      </c>
      <c r="J10" s="27">
        <f t="shared" si="3"/>
        <v>0</v>
      </c>
    </row>
    <row r="11" spans="1:24" s="14" customFormat="1">
      <c r="B11" s="15"/>
      <c r="C11" s="16"/>
      <c r="F11" s="23" t="str">
        <f>IF($C$4&gt;5,$F$5+6,"")</f>
        <v/>
      </c>
      <c r="G11" s="24" t="str">
        <f t="shared" si="0"/>
        <v/>
      </c>
      <c r="H11" s="25" t="str">
        <f t="shared" si="1"/>
        <v/>
      </c>
      <c r="I11" s="26" t="str">
        <f t="shared" si="2"/>
        <v/>
      </c>
      <c r="J11" s="27" t="str">
        <f t="shared" si="3"/>
        <v/>
      </c>
    </row>
    <row r="12" spans="1:24" ht="19.5" thickBot="1">
      <c r="A12" s="14"/>
      <c r="B12" s="17" t="s">
        <v>6</v>
      </c>
      <c r="C12" s="14"/>
      <c r="D12" s="14"/>
      <c r="E12" s="14"/>
      <c r="F12" s="23" t="str">
        <f>IF($C$4&gt;6,$F$5+7,"")</f>
        <v/>
      </c>
      <c r="G12" s="24" t="str">
        <f t="shared" si="0"/>
        <v/>
      </c>
      <c r="H12" s="25" t="str">
        <f t="shared" si="1"/>
        <v/>
      </c>
      <c r="I12" s="26" t="str">
        <f t="shared" si="2"/>
        <v/>
      </c>
      <c r="J12" s="27" t="str">
        <f t="shared" si="3"/>
        <v/>
      </c>
      <c r="K12" s="14"/>
    </row>
    <row r="13" spans="1:24">
      <c r="A13" s="14"/>
      <c r="B13" s="9" t="s">
        <v>2</v>
      </c>
      <c r="C13" s="10">
        <f>(30-C5+1)+30*(12-C6)</f>
        <v>180</v>
      </c>
      <c r="D13" s="14"/>
      <c r="E13" s="14"/>
      <c r="F13" s="23" t="str">
        <f>IF($C$4&gt;7,$F$5+8,"")</f>
        <v/>
      </c>
      <c r="G13" s="24" t="str">
        <f t="shared" ref="G13:G17" si="4">IF(F13&lt;&gt;"",$C$3,"")</f>
        <v/>
      </c>
      <c r="H13" s="25" t="str">
        <f t="shared" si="1"/>
        <v/>
      </c>
      <c r="I13" s="26" t="str">
        <f t="shared" si="2"/>
        <v/>
      </c>
      <c r="J13" s="27" t="str">
        <f t="shared" si="3"/>
        <v/>
      </c>
      <c r="K13" s="14"/>
    </row>
    <row r="14" spans="1:24">
      <c r="A14" s="14"/>
      <c r="B14" s="7" t="s">
        <v>3</v>
      </c>
      <c r="C14" s="11">
        <f>C3/C4</f>
        <v>10000</v>
      </c>
      <c r="D14" s="14"/>
      <c r="E14" s="14"/>
      <c r="F14" s="23" t="str">
        <f>IF($C$4&gt;8,$F$5+9,"")</f>
        <v/>
      </c>
      <c r="G14" s="24" t="str">
        <f t="shared" si="4"/>
        <v/>
      </c>
      <c r="H14" s="25" t="str">
        <f t="shared" si="1"/>
        <v/>
      </c>
      <c r="I14" s="26" t="str">
        <f t="shared" ref="I14" si="5">IF(F14="","",I13+H14)</f>
        <v/>
      </c>
      <c r="J14" s="27" t="str">
        <f t="shared" ref="J14" si="6">IF(F14="","",J13-H14)</f>
        <v/>
      </c>
      <c r="K14" s="14"/>
      <c r="L14" s="14"/>
      <c r="M14" s="14"/>
      <c r="N14" s="14"/>
      <c r="O14" s="14"/>
      <c r="P14" s="14"/>
      <c r="Q14" s="14"/>
      <c r="R14" s="14"/>
    </row>
    <row r="15" spans="1:24" ht="15.75" thickBot="1">
      <c r="A15" s="14"/>
      <c r="B15" s="8" t="s">
        <v>4</v>
      </c>
      <c r="C15" s="12">
        <f>C14*C13/360</f>
        <v>5000</v>
      </c>
      <c r="D15" s="14"/>
      <c r="E15" s="14"/>
      <c r="F15" s="23" t="str">
        <f>IF($C$4&gt;9,$F$5+10,"")</f>
        <v/>
      </c>
      <c r="G15" s="24" t="str">
        <f t="shared" si="4"/>
        <v/>
      </c>
      <c r="H15" s="25" t="str">
        <f t="shared" si="1"/>
        <v/>
      </c>
      <c r="I15" s="26" t="str">
        <f>IF(F15="","",I14+H15)</f>
        <v/>
      </c>
      <c r="J15" s="27" t="str">
        <f>IF(F15="","",J14-H15)</f>
        <v/>
      </c>
      <c r="K15" s="14"/>
      <c r="L15" s="14"/>
      <c r="M15" s="14"/>
      <c r="N15" s="14"/>
      <c r="O15" s="14"/>
      <c r="P15" s="14"/>
      <c r="Q15" s="14"/>
      <c r="R15" s="14"/>
    </row>
    <row r="16" spans="1:24">
      <c r="A16" s="14"/>
      <c r="B16" s="15"/>
      <c r="C16" s="33"/>
      <c r="D16" s="14"/>
      <c r="E16" s="14"/>
      <c r="F16" s="23" t="str">
        <f>IF($C$4&gt;10,$F$5+11,"")</f>
        <v/>
      </c>
      <c r="G16" s="24" t="str">
        <f t="shared" si="4"/>
        <v/>
      </c>
      <c r="H16" s="25" t="str">
        <f>IF(AND(F17="",F18="",F16=""),"",IF(F17&lt;&gt;"",$C$14,$C$14-$C$15))</f>
        <v/>
      </c>
      <c r="I16" s="26" t="str">
        <f t="shared" ref="I16:I17" si="7">IF(F16="","",I15+H16)</f>
        <v/>
      </c>
      <c r="J16" s="27" t="str">
        <f t="shared" ref="J16:J17" si="8">IF(F16="","",J15-H16)</f>
        <v/>
      </c>
      <c r="K16" s="14"/>
      <c r="L16" s="14"/>
      <c r="M16" s="14"/>
      <c r="N16" s="14"/>
      <c r="O16" s="14"/>
      <c r="P16" s="14"/>
      <c r="Q16" s="14"/>
      <c r="R16" s="14"/>
    </row>
    <row r="17" spans="1:18">
      <c r="A17" s="14"/>
      <c r="B17" s="15"/>
      <c r="C17" s="33"/>
      <c r="D17" s="14"/>
      <c r="E17" s="14"/>
      <c r="F17" s="23" t="str">
        <f>IF($C$4&gt;11,$F$5+12,"")</f>
        <v/>
      </c>
      <c r="G17" s="24" t="str">
        <f t="shared" si="4"/>
        <v/>
      </c>
      <c r="H17" s="25" t="str">
        <f>IF(AND(F18="",F19="",F17=""),"",IF(F18&lt;&gt;"",$C$14,$C$14-$C$15))</f>
        <v/>
      </c>
      <c r="I17" s="26" t="str">
        <f t="shared" si="7"/>
        <v/>
      </c>
      <c r="J17" s="27" t="str">
        <f t="shared" si="8"/>
        <v/>
      </c>
      <c r="K17" s="14"/>
      <c r="L17" s="14"/>
      <c r="M17" s="14"/>
      <c r="N17" s="14"/>
      <c r="O17" s="14"/>
      <c r="P17" s="14"/>
      <c r="Q17" s="14"/>
      <c r="R17" s="14"/>
    </row>
    <row r="18" spans="1:18" ht="15.75" thickBot="1">
      <c r="A18" s="14"/>
      <c r="B18" s="14"/>
      <c r="C18" s="14"/>
      <c r="D18" s="14"/>
      <c r="E18" s="14"/>
      <c r="F18" s="28"/>
      <c r="G18" s="29"/>
      <c r="H18" s="30"/>
      <c r="I18" s="31"/>
      <c r="J18" s="32"/>
      <c r="K18" s="14"/>
      <c r="L18" s="14"/>
      <c r="M18" s="14"/>
      <c r="N18" s="14"/>
      <c r="O18" s="14"/>
      <c r="P18" s="14"/>
      <c r="Q18" s="14"/>
      <c r="R18" s="14"/>
    </row>
    <row r="19" spans="1:18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19.5" thickBot="1">
      <c r="A20" s="14"/>
      <c r="B20" s="14"/>
      <c r="C20" s="39" t="s">
        <v>10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49.5" customHeight="1" thickBot="1">
      <c r="A21" s="14"/>
      <c r="B21" s="14"/>
      <c r="C21" s="47">
        <v>681</v>
      </c>
      <c r="D21" s="50"/>
      <c r="E21" s="177" t="s">
        <v>11</v>
      </c>
      <c r="F21" s="178"/>
      <c r="G21" s="50"/>
      <c r="H21" s="48">
        <f>LOOKUP($C$8,$F$5:$F$18,$H$5:$H$18)</f>
        <v>10000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s="14" customFormat="1" ht="43.5" customHeight="1" thickBot="1">
      <c r="C22" s="51"/>
      <c r="D22" s="52">
        <f>LOOKUP("X",'1-1) Type amortissement'!B5:B17,'1-1) Type amortissement'!D5:D17)</f>
        <v>2813</v>
      </c>
      <c r="E22" s="53"/>
      <c r="F22" s="178" t="str">
        <f>LOOKUP("X",'1-1) Type amortissement'!B5:B17,'1-1) Type amortissement'!E5:E17)</f>
        <v>Construction</v>
      </c>
      <c r="G22" s="179"/>
      <c r="H22" s="49"/>
      <c r="I22" s="48">
        <f>LOOKUP($C$8,$F$5:$F$18,$H$5:$H$18)</f>
        <v>10000</v>
      </c>
    </row>
    <row r="23" spans="1:18" s="14" customFormat="1"/>
    <row r="24" spans="1:18" s="14" customFormat="1"/>
    <row r="25" spans="1:18" s="14" customFormat="1"/>
    <row r="26" spans="1:18" s="14" customFormat="1"/>
    <row r="27" spans="1:18" s="14" customFormat="1">
      <c r="G27" s="168"/>
    </row>
    <row r="28" spans="1:18" s="14" customFormat="1"/>
    <row r="29" spans="1:18" s="14" customFormat="1"/>
    <row r="30" spans="1:18" s="14" customFormat="1"/>
    <row r="31" spans="1:18" s="14" customFormat="1"/>
    <row r="32" spans="1:18" s="14" customFormat="1"/>
    <row r="33" s="14" customFormat="1"/>
    <row r="34" s="14" customFormat="1"/>
  </sheetData>
  <mergeCells count="2">
    <mergeCell ref="E21:F21"/>
    <mergeCell ref="F22:G22"/>
  </mergeCells>
  <conditionalFormatting sqref="H6:H17">
    <cfRule type="expression" dxfId="7" priority="11">
      <formula>AND($F6&lt;&gt;$C$8)</formula>
    </cfRule>
    <cfRule type="cellIs" dxfId="6" priority="12" operator="equal">
      <formula>$H$21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0"/>
  <sheetViews>
    <sheetView topLeftCell="A10" zoomScale="72" zoomScaleNormal="72" workbookViewId="0">
      <selection activeCell="D12" sqref="D12"/>
    </sheetView>
  </sheetViews>
  <sheetFormatPr baseColWidth="10" defaultRowHeight="15"/>
  <cols>
    <col min="1" max="1" width="6" customWidth="1"/>
    <col min="2" max="2" width="29.85546875" bestFit="1" customWidth="1"/>
    <col min="6" max="6" width="15.28515625" bestFit="1" customWidth="1"/>
    <col min="7" max="7" width="9.42578125" bestFit="1" customWidth="1"/>
    <col min="8" max="9" width="14.85546875" bestFit="1" customWidth="1"/>
    <col min="10" max="10" width="10.7109375" customWidth="1"/>
    <col min="13" max="13" width="21.7109375" customWidth="1"/>
    <col min="14" max="14" width="14.85546875" bestFit="1" customWidth="1"/>
    <col min="15" max="15" width="15.5703125" customWidth="1"/>
    <col min="16" max="21" width="11.42578125" style="14"/>
  </cols>
  <sheetData>
    <row r="1" spans="1:17" ht="8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7" ht="19.5" thickBot="1">
      <c r="A2" s="14"/>
      <c r="B2" s="39" t="s">
        <v>5</v>
      </c>
      <c r="C2" s="14"/>
      <c r="D2" s="14"/>
      <c r="E2" s="39" t="s">
        <v>40</v>
      </c>
      <c r="F2" s="14"/>
      <c r="G2" s="14"/>
      <c r="H2" s="14"/>
      <c r="I2" s="14"/>
      <c r="J2" s="14"/>
      <c r="K2" s="39" t="s">
        <v>41</v>
      </c>
      <c r="L2" s="14"/>
      <c r="M2" s="14"/>
      <c r="N2" s="14"/>
      <c r="O2" s="14"/>
    </row>
    <row r="3" spans="1:17" ht="15.75" thickBot="1">
      <c r="A3" s="14"/>
      <c r="B3" s="4" t="s">
        <v>8</v>
      </c>
      <c r="C3" s="1">
        <v>50000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7" ht="15.75" thickBot="1">
      <c r="A4" s="14"/>
      <c r="B4" s="5" t="s">
        <v>1</v>
      </c>
      <c r="C4" s="2">
        <v>10</v>
      </c>
      <c r="D4" s="14"/>
      <c r="E4" s="34" t="s">
        <v>1</v>
      </c>
      <c r="F4" s="35" t="s">
        <v>8</v>
      </c>
      <c r="G4" s="36" t="s">
        <v>12</v>
      </c>
      <c r="H4" s="37" t="s">
        <v>14</v>
      </c>
      <c r="I4" s="38" t="s">
        <v>13</v>
      </c>
      <c r="J4" s="14"/>
      <c r="K4" s="34" t="s">
        <v>1</v>
      </c>
      <c r="L4" s="35" t="s">
        <v>42</v>
      </c>
      <c r="M4" s="36" t="s">
        <v>12</v>
      </c>
      <c r="N4" s="37" t="s">
        <v>14</v>
      </c>
      <c r="O4" s="130" t="s">
        <v>13</v>
      </c>
      <c r="P4" s="131" t="s">
        <v>43</v>
      </c>
      <c r="Q4" s="132" t="s">
        <v>44</v>
      </c>
    </row>
    <row r="5" spans="1:17">
      <c r="A5" s="14"/>
      <c r="B5" s="5" t="s">
        <v>34</v>
      </c>
      <c r="C5" s="2">
        <v>1</v>
      </c>
      <c r="D5" s="14"/>
      <c r="E5" s="18">
        <f>C7</f>
        <v>2011</v>
      </c>
      <c r="F5" s="19">
        <f t="shared" ref="F5:F12" si="0">IF(E5&lt;&gt;"",$C$3,"")</f>
        <v>50000</v>
      </c>
      <c r="G5" s="20">
        <f>C15</f>
        <v>2500</v>
      </c>
      <c r="H5" s="21">
        <f>G5</f>
        <v>2500</v>
      </c>
      <c r="I5" s="22">
        <f>F5-G5</f>
        <v>47500</v>
      </c>
      <c r="J5" s="14"/>
      <c r="K5" s="123">
        <f>C7</f>
        <v>2011</v>
      </c>
      <c r="L5" s="124">
        <f>C3</f>
        <v>50000</v>
      </c>
      <c r="M5" s="125">
        <f>C3*C18*C13/360</f>
        <v>6250</v>
      </c>
      <c r="N5" s="126">
        <f>M5</f>
        <v>6250</v>
      </c>
      <c r="O5" s="127">
        <f>L5-N5</f>
        <v>43750</v>
      </c>
      <c r="P5" s="128">
        <f>1/C4</f>
        <v>0.1</v>
      </c>
      <c r="Q5" s="129">
        <f>IF(OR(G5="",M5=""),"",M5-G5)</f>
        <v>3750</v>
      </c>
    </row>
    <row r="6" spans="1:17">
      <c r="A6" s="14"/>
      <c r="B6" s="5" t="s">
        <v>36</v>
      </c>
      <c r="C6" s="2">
        <v>7</v>
      </c>
      <c r="D6" s="14"/>
      <c r="E6" s="23">
        <f>IF($C$4&gt;0,$E$5+1,"")</f>
        <v>2012</v>
      </c>
      <c r="F6" s="24">
        <f t="shared" si="0"/>
        <v>50000</v>
      </c>
      <c r="G6" s="25">
        <f t="shared" ref="G6:G15" si="1">IF(AND(E7="",E8="",E6=""),"",IF(E7&lt;&gt;"",$C$14,$C$14-$C$15))</f>
        <v>5000</v>
      </c>
      <c r="H6" s="26">
        <f t="shared" ref="H6:H13" si="2">IF(E6="","",H5+G6)</f>
        <v>7500</v>
      </c>
      <c r="I6" s="27">
        <f t="shared" ref="I6:I13" si="3">IF(E6="","",I5-G6)</f>
        <v>42500</v>
      </c>
      <c r="J6" s="14"/>
      <c r="K6" s="115">
        <f>IF($C$4&gt;0,$E$5+1,"")</f>
        <v>2012</v>
      </c>
      <c r="L6" s="112">
        <f>IF(K6&lt;&gt;"",O5,"")</f>
        <v>43750</v>
      </c>
      <c r="M6" s="108">
        <f t="shared" ref="M6:M15" si="4">IF(OR(L5="",P5=""),"",IF(P6&gt;$C$18,IF(P5&gt;$C$18,M5,L6*P6),IF(AND(K6="",K7="",K8=""),"",IF(K7&lt;&gt;"",L6*$C$18,FALSE))))</f>
        <v>10937.5</v>
      </c>
      <c r="N6" s="109">
        <f>IF(K6="","",N5+M6)</f>
        <v>17187.5</v>
      </c>
      <c r="O6" s="110">
        <f>IF(K6="","",O5-M6)</f>
        <v>32812.5</v>
      </c>
      <c r="P6" s="111">
        <f>IF(OR(P5=100%,P5=""),"",1/($C$4-1))</f>
        <v>0.1111111111111111</v>
      </c>
      <c r="Q6" s="114">
        <f t="shared" ref="Q6:Q17" si="5">IF(OR(G6="",M6=""),"",M6-G6)</f>
        <v>5937.5</v>
      </c>
    </row>
    <row r="7" spans="1:17">
      <c r="A7" s="14"/>
      <c r="B7" s="5" t="s">
        <v>37</v>
      </c>
      <c r="C7" s="2">
        <v>2011</v>
      </c>
      <c r="D7" s="14"/>
      <c r="E7" s="23">
        <f>IF($C$4&gt;1,$E$5+2,"")</f>
        <v>2013</v>
      </c>
      <c r="F7" s="24">
        <f t="shared" si="0"/>
        <v>50000</v>
      </c>
      <c r="G7" s="25">
        <f t="shared" si="1"/>
        <v>5000</v>
      </c>
      <c r="H7" s="26">
        <f t="shared" si="2"/>
        <v>12500</v>
      </c>
      <c r="I7" s="27">
        <f t="shared" si="3"/>
        <v>37500</v>
      </c>
      <c r="J7" s="14"/>
      <c r="K7" s="115">
        <f>IF($C$4&gt;1,$E$5+2,"")</f>
        <v>2013</v>
      </c>
      <c r="L7" s="112">
        <f t="shared" ref="L7:L17" si="6">IF(K7&lt;&gt;"",O6,"")</f>
        <v>32812.5</v>
      </c>
      <c r="M7" s="108">
        <f t="shared" si="4"/>
        <v>8203.125</v>
      </c>
      <c r="N7" s="109">
        <f t="shared" ref="N7:N17" si="7">IF(K7="","",N6+M7)</f>
        <v>25390.625</v>
      </c>
      <c r="O7" s="110">
        <f t="shared" ref="O7:O15" si="8">IF(K7="","",O6-M7)</f>
        <v>24609.375</v>
      </c>
      <c r="P7" s="111">
        <f>IF(OR(P6=100%,P6=""),"",1/($C$4-2))</f>
        <v>0.125</v>
      </c>
      <c r="Q7" s="114">
        <f t="shared" si="5"/>
        <v>3203.125</v>
      </c>
    </row>
    <row r="8" spans="1:17" ht="15.75" thickBot="1">
      <c r="A8" s="14"/>
      <c r="B8" s="6" t="s">
        <v>9</v>
      </c>
      <c r="C8" s="3">
        <v>2013</v>
      </c>
      <c r="D8" s="14"/>
      <c r="E8" s="23">
        <f>IF($C$4&gt;2,$E$5+3,"")</f>
        <v>2014</v>
      </c>
      <c r="F8" s="24">
        <f t="shared" si="0"/>
        <v>50000</v>
      </c>
      <c r="G8" s="25">
        <f t="shared" si="1"/>
        <v>5000</v>
      </c>
      <c r="H8" s="26">
        <f t="shared" si="2"/>
        <v>17500</v>
      </c>
      <c r="I8" s="27">
        <f t="shared" si="3"/>
        <v>32500</v>
      </c>
      <c r="J8" s="14"/>
      <c r="K8" s="115">
        <f>IF($C$4&gt;2,$E$5+3,"")</f>
        <v>2014</v>
      </c>
      <c r="L8" s="112">
        <f t="shared" si="6"/>
        <v>24609.375</v>
      </c>
      <c r="M8" s="108">
        <f t="shared" si="4"/>
        <v>6152.34375</v>
      </c>
      <c r="N8" s="109">
        <f t="shared" si="7"/>
        <v>31542.96875</v>
      </c>
      <c r="O8" s="110">
        <f t="shared" si="8"/>
        <v>18457.03125</v>
      </c>
      <c r="P8" s="111">
        <f>IF(OR(P7=100%,P7=""),"",1/($C$4-3))</f>
        <v>0.14285714285714285</v>
      </c>
      <c r="Q8" s="114">
        <f t="shared" si="5"/>
        <v>1152.34375</v>
      </c>
    </row>
    <row r="9" spans="1:17">
      <c r="A9" s="14"/>
      <c r="B9" s="14"/>
      <c r="C9" s="55"/>
      <c r="D9" s="14"/>
      <c r="E9" s="23">
        <f>IF($C$4&gt;3,$E$5+4,"")</f>
        <v>2015</v>
      </c>
      <c r="F9" s="24">
        <f t="shared" si="0"/>
        <v>50000</v>
      </c>
      <c r="G9" s="25">
        <f>IF(AND(E10="",E11="",E9=""),"",IF(E10&lt;&gt;"",$C$14,$C$14-$C$15))</f>
        <v>5000</v>
      </c>
      <c r="H9" s="26">
        <f t="shared" si="2"/>
        <v>22500</v>
      </c>
      <c r="I9" s="27">
        <f t="shared" si="3"/>
        <v>27500</v>
      </c>
      <c r="J9" s="14"/>
      <c r="K9" s="115">
        <f>IF($C$4&gt;3,$E$5+4,"")</f>
        <v>2015</v>
      </c>
      <c r="L9" s="112">
        <f t="shared" si="6"/>
        <v>18457.03125</v>
      </c>
      <c r="M9" s="108">
        <f t="shared" si="4"/>
        <v>4614.2578125</v>
      </c>
      <c r="N9" s="109">
        <f t="shared" si="7"/>
        <v>36157.2265625</v>
      </c>
      <c r="O9" s="110">
        <f t="shared" si="8"/>
        <v>13842.7734375</v>
      </c>
      <c r="P9" s="111">
        <f>IF(OR(P8=100%,P8=""),"",1/($C$4-4))</f>
        <v>0.16666666666666666</v>
      </c>
      <c r="Q9" s="114">
        <f t="shared" si="5"/>
        <v>-385.7421875</v>
      </c>
    </row>
    <row r="10" spans="1:17" s="14" customFormat="1">
      <c r="B10" s="15"/>
      <c r="C10" s="16"/>
      <c r="E10" s="23">
        <f>IF($C$4&gt;4,$E$5+5,"")</f>
        <v>2016</v>
      </c>
      <c r="F10" s="24">
        <f t="shared" si="0"/>
        <v>50000</v>
      </c>
      <c r="G10" s="25">
        <f t="shared" si="1"/>
        <v>5000</v>
      </c>
      <c r="H10" s="26">
        <f t="shared" si="2"/>
        <v>27500</v>
      </c>
      <c r="I10" s="27">
        <f t="shared" si="3"/>
        <v>22500</v>
      </c>
      <c r="K10" s="115">
        <f>IF($C$4&gt;4,$E$5+5,"")</f>
        <v>2016</v>
      </c>
      <c r="L10" s="112">
        <f t="shared" si="6"/>
        <v>13842.7734375</v>
      </c>
      <c r="M10" s="108">
        <f t="shared" si="4"/>
        <v>3460.693359375</v>
      </c>
      <c r="N10" s="109">
        <f t="shared" si="7"/>
        <v>39617.919921875</v>
      </c>
      <c r="O10" s="110">
        <f t="shared" si="8"/>
        <v>10382.080078125</v>
      </c>
      <c r="P10" s="111">
        <f>IF(OR(P9=100%,P9=""),"",1/($C$4-5))</f>
        <v>0.2</v>
      </c>
      <c r="Q10" s="114">
        <f t="shared" si="5"/>
        <v>-1539.306640625</v>
      </c>
    </row>
    <row r="11" spans="1:17" s="14" customFormat="1">
      <c r="B11" s="15"/>
      <c r="C11" s="16"/>
      <c r="E11" s="23">
        <f>IF($C$4&gt;5,$E$5+6,"")</f>
        <v>2017</v>
      </c>
      <c r="F11" s="24">
        <f t="shared" si="0"/>
        <v>50000</v>
      </c>
      <c r="G11" s="25">
        <f t="shared" si="1"/>
        <v>5000</v>
      </c>
      <c r="H11" s="26">
        <f t="shared" si="2"/>
        <v>32500</v>
      </c>
      <c r="I11" s="27">
        <f t="shared" si="3"/>
        <v>17500</v>
      </c>
      <c r="K11" s="115">
        <f>IF($C$4&gt;5,$E$5+6,"")</f>
        <v>2017</v>
      </c>
      <c r="L11" s="112">
        <f t="shared" si="6"/>
        <v>10382.080078125</v>
      </c>
      <c r="M11" s="108">
        <f t="shared" si="4"/>
        <v>2595.52001953125</v>
      </c>
      <c r="N11" s="109">
        <f t="shared" si="7"/>
        <v>42213.43994140625</v>
      </c>
      <c r="O11" s="110">
        <f t="shared" si="8"/>
        <v>7786.56005859375</v>
      </c>
      <c r="P11" s="111">
        <f>IF(OR(P10=100%,P10=""),"",1/($C$4-6))</f>
        <v>0.25</v>
      </c>
      <c r="Q11" s="114">
        <f t="shared" si="5"/>
        <v>-2404.47998046875</v>
      </c>
    </row>
    <row r="12" spans="1:17" ht="19.5" thickBot="1">
      <c r="A12" s="14"/>
      <c r="B12" s="17" t="s">
        <v>30</v>
      </c>
      <c r="C12" s="14"/>
      <c r="D12" s="14"/>
      <c r="E12" s="23">
        <f>IF($C$4&gt;6,$E$5+7,"")</f>
        <v>2018</v>
      </c>
      <c r="F12" s="24">
        <f t="shared" si="0"/>
        <v>50000</v>
      </c>
      <c r="G12" s="25">
        <f t="shared" si="1"/>
        <v>5000</v>
      </c>
      <c r="H12" s="26">
        <f t="shared" si="2"/>
        <v>37500</v>
      </c>
      <c r="I12" s="27">
        <f t="shared" si="3"/>
        <v>12500</v>
      </c>
      <c r="J12" s="14"/>
      <c r="K12" s="115">
        <f>IF($C$4&gt;6,$E$5+7,"")</f>
        <v>2018</v>
      </c>
      <c r="L12" s="112">
        <f t="shared" si="6"/>
        <v>7786.56005859375</v>
      </c>
      <c r="M12" s="108">
        <f t="shared" si="4"/>
        <v>2595.52001953125</v>
      </c>
      <c r="N12" s="109">
        <f t="shared" si="7"/>
        <v>44808.9599609375</v>
      </c>
      <c r="O12" s="110">
        <f t="shared" si="8"/>
        <v>5191.0400390625</v>
      </c>
      <c r="P12" s="111">
        <f>IF(OR(P11=100%,P11=""),"",1/($C$4-7))</f>
        <v>0.33333333333333331</v>
      </c>
      <c r="Q12" s="114">
        <f t="shared" si="5"/>
        <v>-2404.47998046875</v>
      </c>
    </row>
    <row r="13" spans="1:17">
      <c r="A13" s="14"/>
      <c r="B13" s="9" t="s">
        <v>2</v>
      </c>
      <c r="C13" s="10">
        <f>(30-C5+1)+30*(12-C6)</f>
        <v>180</v>
      </c>
      <c r="D13" s="14"/>
      <c r="E13" s="23">
        <f>IF($C$4&gt;7,$E$5+8,"")</f>
        <v>2019</v>
      </c>
      <c r="F13" s="24">
        <f t="shared" ref="F13:F17" si="9">IF(E13&lt;&gt;"",$C$3,"")</f>
        <v>50000</v>
      </c>
      <c r="G13" s="25">
        <f t="shared" si="1"/>
        <v>5000</v>
      </c>
      <c r="H13" s="26">
        <f t="shared" si="2"/>
        <v>42500</v>
      </c>
      <c r="I13" s="27">
        <f t="shared" si="3"/>
        <v>7500</v>
      </c>
      <c r="J13" s="14"/>
      <c r="K13" s="115">
        <f>IF($C$4&gt;7,$E$5+8,"")</f>
        <v>2019</v>
      </c>
      <c r="L13" s="112">
        <f t="shared" si="6"/>
        <v>5191.0400390625</v>
      </c>
      <c r="M13" s="108">
        <f t="shared" si="4"/>
        <v>2595.52001953125</v>
      </c>
      <c r="N13" s="109">
        <f t="shared" si="7"/>
        <v>47404.47998046875</v>
      </c>
      <c r="O13" s="110">
        <f t="shared" si="8"/>
        <v>2595.52001953125</v>
      </c>
      <c r="P13" s="111">
        <f>IF(OR(P12=100%,P12=""),"",1/($C$4-8))</f>
        <v>0.5</v>
      </c>
      <c r="Q13" s="114">
        <f t="shared" si="5"/>
        <v>-2404.47998046875</v>
      </c>
    </row>
    <row r="14" spans="1:17">
      <c r="A14" s="14"/>
      <c r="B14" s="7" t="s">
        <v>3</v>
      </c>
      <c r="C14" s="11">
        <f>C3/C4</f>
        <v>5000</v>
      </c>
      <c r="D14" s="14"/>
      <c r="E14" s="23">
        <f>IF($C$4&gt;8,$E$5+9,"")</f>
        <v>2020</v>
      </c>
      <c r="F14" s="24">
        <f t="shared" si="9"/>
        <v>50000</v>
      </c>
      <c r="G14" s="25">
        <f t="shared" si="1"/>
        <v>5000</v>
      </c>
      <c r="H14" s="26">
        <f t="shared" ref="H14" si="10">IF(E14="","",H13+G14)</f>
        <v>47500</v>
      </c>
      <c r="I14" s="27">
        <f t="shared" ref="I14" si="11">IF(E14="","",I13-G14)</f>
        <v>2500</v>
      </c>
      <c r="J14" s="14"/>
      <c r="K14" s="115">
        <f>IF($C$4&gt;8,$E$5+9,"")</f>
        <v>2020</v>
      </c>
      <c r="L14" s="112">
        <f t="shared" si="6"/>
        <v>2595.52001953125</v>
      </c>
      <c r="M14" s="108">
        <f t="shared" si="4"/>
        <v>2595.52001953125</v>
      </c>
      <c r="N14" s="109">
        <f t="shared" si="7"/>
        <v>50000</v>
      </c>
      <c r="O14" s="110">
        <f t="shared" si="8"/>
        <v>0</v>
      </c>
      <c r="P14" s="111">
        <f>IF(OR(P13=100%,P13=""),"",1/($C$4-9))</f>
        <v>1</v>
      </c>
      <c r="Q14" s="114">
        <f t="shared" si="5"/>
        <v>-2404.47998046875</v>
      </c>
    </row>
    <row r="15" spans="1:17">
      <c r="A15" s="14"/>
      <c r="B15" s="7" t="s">
        <v>4</v>
      </c>
      <c r="C15" s="54">
        <f>C14*C13/360</f>
        <v>2500</v>
      </c>
      <c r="D15" s="14"/>
      <c r="E15" s="23">
        <f>IF($C$4&gt;9,$E$5+10,"")</f>
        <v>2021</v>
      </c>
      <c r="F15" s="24">
        <f t="shared" si="9"/>
        <v>50000</v>
      </c>
      <c r="G15" s="25">
        <f t="shared" si="1"/>
        <v>2500</v>
      </c>
      <c r="H15" s="26">
        <f>IF(E15="","",H14+G15)</f>
        <v>50000</v>
      </c>
      <c r="I15" s="27">
        <f>IF(E15="","",I14-G15)</f>
        <v>0</v>
      </c>
      <c r="J15" s="14"/>
      <c r="K15" s="115">
        <f>IF($C$4&gt;9,$E$5+10,"")</f>
        <v>2021</v>
      </c>
      <c r="L15" s="112">
        <f t="shared" si="6"/>
        <v>0</v>
      </c>
      <c r="M15" s="108">
        <f t="shared" si="4"/>
        <v>2595.52001953125</v>
      </c>
      <c r="N15" s="109">
        <f t="shared" si="7"/>
        <v>52595.52001953125</v>
      </c>
      <c r="O15" s="110">
        <f t="shared" si="8"/>
        <v>-2595.52001953125</v>
      </c>
      <c r="P15" s="113" t="str">
        <f>IF(OR(P14=100%,P14=""),"",1/($C$4-10))</f>
        <v/>
      </c>
      <c r="Q15" s="114">
        <f t="shared" si="5"/>
        <v>95.52001953125</v>
      </c>
    </row>
    <row r="16" spans="1:17">
      <c r="A16" s="14"/>
      <c r="B16" s="7" t="s">
        <v>35</v>
      </c>
      <c r="C16" s="54">
        <v>2.5</v>
      </c>
      <c r="D16" s="14"/>
      <c r="E16" s="23" t="str">
        <f>IF($C$4&gt;10,$E$5+11,"")</f>
        <v/>
      </c>
      <c r="F16" s="24" t="str">
        <f t="shared" si="9"/>
        <v/>
      </c>
      <c r="G16" s="25" t="str">
        <f>IF(AND(E17="",E18="",E16=""),"",IF(E17&lt;&gt;"",$C$14,$C$14-$C$15))</f>
        <v/>
      </c>
      <c r="H16" s="26" t="str">
        <f t="shared" ref="H16:H17" si="12">IF(E16="","",H15+G16)</f>
        <v/>
      </c>
      <c r="I16" s="27" t="str">
        <f t="shared" ref="I16:I17" si="13">IF(E16="","",I15-G16)</f>
        <v/>
      </c>
      <c r="J16" s="14"/>
      <c r="K16" s="115" t="str">
        <f>IF($C$4&gt;10,$E$5+11,"")</f>
        <v/>
      </c>
      <c r="L16" s="112" t="str">
        <f t="shared" si="6"/>
        <v/>
      </c>
      <c r="M16" s="108" t="str">
        <f>IF(OR(L15="",P15=""),"",IF(P16&gt;$C$18,IF(P15&gt;$C$18,M15,L16*P16),IF(AND(K16="",K17="",K18=""),"",IF(K17&lt;&gt;"",L16*$C$18,FALSE))))</f>
        <v/>
      </c>
      <c r="N16" s="109" t="str">
        <f t="shared" si="7"/>
        <v/>
      </c>
      <c r="O16" s="110" t="str">
        <f t="shared" ref="O16:O17" si="14">IF(K16="","",O15-M16)</f>
        <v/>
      </c>
      <c r="P16" s="113" t="str">
        <f>IF(OR(P15=100%,P15=""),"",1/($C$4-11))</f>
        <v/>
      </c>
      <c r="Q16" s="114" t="str">
        <f t="shared" si="5"/>
        <v/>
      </c>
    </row>
    <row r="17" spans="1:19">
      <c r="A17" s="14"/>
      <c r="B17" s="7" t="s">
        <v>38</v>
      </c>
      <c r="C17" s="54">
        <f>100/C4</f>
        <v>10</v>
      </c>
      <c r="D17" s="14"/>
      <c r="E17" s="23" t="str">
        <f>IF($C$4&gt;11,$E$5+12,"")</f>
        <v/>
      </c>
      <c r="F17" s="24" t="str">
        <f t="shared" si="9"/>
        <v/>
      </c>
      <c r="G17" s="25" t="str">
        <f>IF(AND(E18="",F19="",E17=""),"",IF(E18&lt;&gt;"",$C$14,$C$14-$C$15))</f>
        <v/>
      </c>
      <c r="H17" s="26" t="str">
        <f t="shared" si="12"/>
        <v/>
      </c>
      <c r="I17" s="27" t="str">
        <f t="shared" si="13"/>
        <v/>
      </c>
      <c r="J17" s="14"/>
      <c r="K17" s="115" t="str">
        <f>IF($C$4&gt;11,$E$5+12,"")</f>
        <v/>
      </c>
      <c r="L17" s="112" t="str">
        <f t="shared" si="6"/>
        <v/>
      </c>
      <c r="M17" s="108" t="str">
        <f t="shared" ref="M17" si="15">IF(OR(L16="",L16=0),"",IF(P17&gt;$C$18,IF(P16&gt;$C$18,M16,L17*P17),IF(AND(K17="",K18="",K19=""),"",IF(K18&lt;&gt;"",L17*$C$18,FALSE))))</f>
        <v/>
      </c>
      <c r="N17" s="109" t="str">
        <f t="shared" si="7"/>
        <v/>
      </c>
      <c r="O17" s="110" t="str">
        <f t="shared" si="14"/>
        <v/>
      </c>
      <c r="P17" s="113" t="str">
        <f>IF(OR(P16=100%,P16=""),"",1/($C$4-12))</f>
        <v/>
      </c>
      <c r="Q17" s="114" t="str">
        <f t="shared" si="5"/>
        <v/>
      </c>
    </row>
    <row r="18" spans="1:19" ht="15.75" thickBot="1">
      <c r="A18" s="14"/>
      <c r="B18" s="8" t="s">
        <v>39</v>
      </c>
      <c r="C18" s="57">
        <f>C16*C17/100</f>
        <v>0.25</v>
      </c>
      <c r="D18" s="14"/>
      <c r="E18" s="28"/>
      <c r="F18" s="29"/>
      <c r="G18" s="30"/>
      <c r="H18" s="31"/>
      <c r="I18" s="32"/>
      <c r="J18" s="14"/>
      <c r="K18" s="116"/>
      <c r="L18" s="117"/>
      <c r="M18" s="118"/>
      <c r="N18" s="119"/>
      <c r="O18" s="120"/>
      <c r="P18" s="121"/>
      <c r="Q18" s="122"/>
    </row>
    <row r="19" spans="1:19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9" ht="19.5" thickBot="1">
      <c r="A20" s="14"/>
      <c r="B20" s="14"/>
      <c r="C20" s="39" t="s">
        <v>10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9" ht="63.75" customHeight="1" thickBot="1">
      <c r="A21" s="14"/>
      <c r="B21" s="14"/>
      <c r="C21" s="47">
        <v>681</v>
      </c>
      <c r="D21" s="50"/>
      <c r="E21" s="182" t="s">
        <v>45</v>
      </c>
      <c r="F21" s="183"/>
      <c r="G21" s="184"/>
      <c r="H21" s="48">
        <f>LOOKUP($C$8,$E$5:$E$18,$G$5:$G$18)</f>
        <v>5000</v>
      </c>
      <c r="I21" s="14"/>
      <c r="J21" s="14"/>
      <c r="K21" s="14"/>
      <c r="L21" s="171" t="s">
        <v>74</v>
      </c>
      <c r="M21" s="171" t="s">
        <v>75</v>
      </c>
      <c r="N21" s="171" t="s">
        <v>76</v>
      </c>
      <c r="O21" s="171" t="s">
        <v>73</v>
      </c>
      <c r="P21" s="171" t="s">
        <v>77</v>
      </c>
      <c r="R21" s="14" t="s">
        <v>77</v>
      </c>
      <c r="S21">
        <f>100/8*2.5</f>
        <v>31.25</v>
      </c>
    </row>
    <row r="22" spans="1:19" s="14" customFormat="1" ht="65.25" customHeight="1" thickBot="1">
      <c r="C22" s="51"/>
      <c r="D22" s="60">
        <f>LOOKUP("X",'1-1) Type amortissement'!B5:B17,'1-1) Type amortissement'!D5:D17)</f>
        <v>2813</v>
      </c>
      <c r="E22" s="65"/>
      <c r="F22" s="180" t="str">
        <f>LOOKUP("X",'1-1) Type amortissement'!B5:B17,'1-1) Type amortissement'!E5:E17)</f>
        <v>Construction</v>
      </c>
      <c r="G22" s="181"/>
      <c r="H22" s="61"/>
      <c r="I22" s="48">
        <f>LOOKUP($C$8,$E$5:$E$18,$G$5:$G$18)</f>
        <v>5000</v>
      </c>
      <c r="L22" s="171">
        <v>2011</v>
      </c>
      <c r="M22" s="172">
        <v>50000</v>
      </c>
      <c r="N22" s="172">
        <f>M22*6/12*S21%</f>
        <v>7812.5</v>
      </c>
      <c r="O22" s="172">
        <f t="shared" ref="O22:O29" si="16">M22-N22</f>
        <v>42187.5</v>
      </c>
      <c r="P22" s="171">
        <f>100/8</f>
        <v>12.5</v>
      </c>
      <c r="S22"/>
    </row>
    <row r="23" spans="1:19" s="14" customFormat="1" ht="42" customHeight="1" thickBot="1">
      <c r="C23" s="58">
        <f>IF(LOOKUP($C$8,K5:K17,Q5:Q17)&gt;0,687,145)</f>
        <v>687</v>
      </c>
      <c r="D23" s="63"/>
      <c r="E23" s="182" t="str">
        <f>IF(C23=145,"Amortissements dérogatoires","Dotations aux amortissements et aux provisions - Charges exceptionnelles")</f>
        <v>Dotations aux amortissements et aux provisions - Charges exceptionnelles</v>
      </c>
      <c r="F23" s="183"/>
      <c r="G23" s="184"/>
      <c r="H23" s="59">
        <f>IF(LOOKUP($C$8,K5:K17,Q5:Q17)&gt;0,LOOKUP($C$8,K5:K17,Q5:Q17),-LOOKUP($C$8,K5:K17,Q5:Q17))</f>
        <v>3203.125</v>
      </c>
      <c r="I23" s="56"/>
      <c r="L23" s="171">
        <v>2012</v>
      </c>
      <c r="M23" s="172">
        <f t="shared" ref="M23:M29" si="17">O22</f>
        <v>42187.5</v>
      </c>
      <c r="N23" s="172">
        <f>M23*S21%</f>
        <v>13183.59375</v>
      </c>
      <c r="O23" s="172">
        <f t="shared" si="16"/>
        <v>29003.90625</v>
      </c>
      <c r="P23" s="171">
        <f>100/7</f>
        <v>14.285714285714286</v>
      </c>
      <c r="R23" s="14" t="s">
        <v>78</v>
      </c>
      <c r="S23"/>
    </row>
    <row r="24" spans="1:19" s="14" customFormat="1" ht="27.75" customHeight="1" thickBot="1">
      <c r="D24" s="64">
        <f>IF(LOOKUP(C8,K5:K17,Q5:Q17)&gt;0,145,787)</f>
        <v>145</v>
      </c>
      <c r="E24" s="66"/>
      <c r="F24" s="183" t="str">
        <f>IF(D24=787,"Reprises sur provisions","Amortissements dérogatoires")</f>
        <v>Amortissements dérogatoires</v>
      </c>
      <c r="G24" s="184"/>
      <c r="H24" s="62"/>
      <c r="I24" s="59">
        <f>IF(LOOKUP($C$8,K5:K17,Q5:Q17)&gt;0,LOOKUP($C$8,K5:K17,Q5:Q17),-LOOKUP($C$8,K5:K17,Q5:Q17))</f>
        <v>3203.125</v>
      </c>
      <c r="L24" s="173">
        <v>2013</v>
      </c>
      <c r="M24" s="174">
        <f t="shared" si="17"/>
        <v>29003.90625</v>
      </c>
      <c r="N24" s="174">
        <f>M24*S21%</f>
        <v>9063.720703125</v>
      </c>
      <c r="O24" s="174">
        <f t="shared" si="16"/>
        <v>19940.185546875</v>
      </c>
      <c r="P24" s="173">
        <f>100/6</f>
        <v>16.666666666666668</v>
      </c>
      <c r="R24" s="56">
        <f>N24-G7</f>
        <v>4063.720703125</v>
      </c>
      <c r="S24"/>
    </row>
    <row r="25" spans="1:19" s="14" customFormat="1">
      <c r="E25" s="67"/>
      <c r="F25" s="67"/>
      <c r="G25" s="67"/>
      <c r="L25" s="171">
        <v>2014</v>
      </c>
      <c r="M25" s="172">
        <f t="shared" si="17"/>
        <v>19940.185546875</v>
      </c>
      <c r="N25" s="172">
        <f>M25*S21%</f>
        <v>6231.3079833984375</v>
      </c>
      <c r="O25" s="172">
        <f t="shared" si="16"/>
        <v>13708.877563476563</v>
      </c>
      <c r="P25" s="171">
        <f>100/5</f>
        <v>20</v>
      </c>
      <c r="S25"/>
    </row>
    <row r="26" spans="1:19" s="14" customFormat="1">
      <c r="E26" s="67"/>
      <c r="F26" s="67"/>
      <c r="G26" s="67"/>
      <c r="L26" s="171">
        <v>2015</v>
      </c>
      <c r="M26" s="172">
        <f t="shared" si="17"/>
        <v>13708.877563476563</v>
      </c>
      <c r="N26" s="172">
        <f>M26*S21%</f>
        <v>4284.0242385864258</v>
      </c>
      <c r="O26" s="172">
        <f t="shared" si="16"/>
        <v>9424.8533248901367</v>
      </c>
      <c r="P26" s="171">
        <f>100/4</f>
        <v>25</v>
      </c>
      <c r="S26"/>
    </row>
    <row r="27" spans="1:19" s="14" customFormat="1">
      <c r="L27" s="171">
        <v>2016</v>
      </c>
      <c r="M27" s="172">
        <f t="shared" si="17"/>
        <v>9424.8533248901367</v>
      </c>
      <c r="N27" s="172">
        <f>M27*P27%</f>
        <v>3141.6177749633794</v>
      </c>
      <c r="O27" s="172">
        <f t="shared" si="16"/>
        <v>6283.2355499267578</v>
      </c>
      <c r="P27" s="171">
        <f>100/3</f>
        <v>33.333333333333336</v>
      </c>
    </row>
    <row r="28" spans="1:19" s="14" customFormat="1">
      <c r="L28" s="171">
        <v>2017</v>
      </c>
      <c r="M28" s="172">
        <f t="shared" si="17"/>
        <v>6283.2355499267578</v>
      </c>
      <c r="N28" s="172">
        <f>M28*P28%</f>
        <v>3141.6177749633789</v>
      </c>
      <c r="O28" s="172">
        <f t="shared" si="16"/>
        <v>3141.6177749633789</v>
      </c>
      <c r="P28" s="171">
        <f>100/2</f>
        <v>50</v>
      </c>
    </row>
    <row r="29" spans="1:19" s="14" customFormat="1">
      <c r="L29" s="171">
        <v>2018</v>
      </c>
      <c r="M29" s="172">
        <f t="shared" si="17"/>
        <v>3141.6177749633789</v>
      </c>
      <c r="N29" s="172">
        <f>M29*P29%</f>
        <v>3141.6177749633789</v>
      </c>
      <c r="O29" s="172">
        <f t="shared" si="16"/>
        <v>0</v>
      </c>
      <c r="P29" s="171">
        <f>100</f>
        <v>100</v>
      </c>
      <c r="S29"/>
    </row>
    <row r="30" spans="1:19" s="14" customFormat="1">
      <c r="L30" s="171">
        <v>2019</v>
      </c>
      <c r="M30" s="172"/>
      <c r="N30" s="172"/>
      <c r="O30" s="172"/>
      <c r="P30" s="171"/>
      <c r="S30"/>
    </row>
    <row r="31" spans="1:19" s="14" customFormat="1"/>
    <row r="32" spans="1:19" s="14" customFormat="1"/>
    <row r="33" spans="2:4" s="14" customFormat="1"/>
    <row r="34" spans="2:4" s="14" customFormat="1"/>
    <row r="38" spans="2:4">
      <c r="B38" s="169" t="s">
        <v>71</v>
      </c>
      <c r="C38" s="169" t="s">
        <v>72</v>
      </c>
      <c r="D38" s="169" t="s">
        <v>73</v>
      </c>
    </row>
    <row r="39" spans="2:4">
      <c r="B39" s="170">
        <v>500000</v>
      </c>
      <c r="C39">
        <f>B39*(15+240)/360*(1.75*100/5)%</f>
        <v>123958.33333333333</v>
      </c>
    </row>
    <row r="40" spans="2:4">
      <c r="C40">
        <f>B39*9/12*(1.75*100/5)%</f>
        <v>131250</v>
      </c>
    </row>
  </sheetData>
  <mergeCells count="4">
    <mergeCell ref="F22:G22"/>
    <mergeCell ref="E23:G23"/>
    <mergeCell ref="E21:G21"/>
    <mergeCell ref="F24:G24"/>
  </mergeCells>
  <conditionalFormatting sqref="G6:G17">
    <cfRule type="expression" dxfId="5" priority="6">
      <formula>AND($E6&lt;&gt;$C$8)</formula>
    </cfRule>
    <cfRule type="cellIs" dxfId="4" priority="7" operator="equal">
      <formula>$H$21</formula>
    </cfRule>
  </conditionalFormatting>
  <conditionalFormatting sqref="Q6:Q17">
    <cfRule type="expression" dxfId="3" priority="2">
      <formula>AND($K6&lt;&gt;$C$8)</formula>
    </cfRule>
    <cfRule type="cellIs" dxfId="2" priority="3" operator="equal">
      <formula>$H$23</formula>
    </cfRule>
  </conditionalFormatting>
  <conditionalFormatting sqref="Q5:Q18">
    <cfRule type="cellIs" dxfId="1" priority="1" operator="equal">
      <formula>-$H$23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7"/>
  <sheetViews>
    <sheetView workbookViewId="0">
      <selection activeCell="C17" sqref="C17"/>
    </sheetView>
  </sheetViews>
  <sheetFormatPr baseColWidth="10" defaultRowHeight="15"/>
  <cols>
    <col min="3" max="5" width="9.7109375" customWidth="1"/>
  </cols>
  <sheetData>
    <row r="1" spans="2:5" ht="15.75" thickBot="1"/>
    <row r="2" spans="2:5" ht="16.5" thickBot="1">
      <c r="B2" s="68"/>
      <c r="C2" s="78">
        <v>2</v>
      </c>
      <c r="D2" s="79">
        <v>4</v>
      </c>
      <c r="E2" s="80">
        <v>6</v>
      </c>
    </row>
    <row r="3" spans="2:5">
      <c r="B3" s="81">
        <v>1995</v>
      </c>
      <c r="C3" s="69">
        <v>1.5</v>
      </c>
      <c r="D3" s="70">
        <v>2</v>
      </c>
      <c r="E3" s="71">
        <v>2.5</v>
      </c>
    </row>
    <row r="4" spans="2:5">
      <c r="B4" s="82">
        <v>1996</v>
      </c>
      <c r="C4" s="72">
        <v>1.5</v>
      </c>
      <c r="D4" s="73">
        <v>2</v>
      </c>
      <c r="E4" s="74">
        <v>2.5</v>
      </c>
    </row>
    <row r="5" spans="2:5">
      <c r="B5" s="82">
        <v>1997</v>
      </c>
      <c r="C5" s="72">
        <v>1.5</v>
      </c>
      <c r="D5" s="73">
        <v>2</v>
      </c>
      <c r="E5" s="74">
        <v>2.5</v>
      </c>
    </row>
    <row r="6" spans="2:5">
      <c r="B6" s="82">
        <v>1998</v>
      </c>
      <c r="C6" s="72">
        <v>1.5</v>
      </c>
      <c r="D6" s="73">
        <v>2</v>
      </c>
      <c r="E6" s="74">
        <v>2.5</v>
      </c>
    </row>
    <row r="7" spans="2:5">
      <c r="B7" s="82">
        <v>1999</v>
      </c>
      <c r="C7" s="72">
        <v>1.5</v>
      </c>
      <c r="D7" s="73">
        <v>2</v>
      </c>
      <c r="E7" s="74">
        <v>2.5</v>
      </c>
    </row>
    <row r="8" spans="2:5">
      <c r="B8" s="82">
        <v>2000</v>
      </c>
      <c r="C8" s="72">
        <v>1.5</v>
      </c>
      <c r="D8" s="73">
        <v>2</v>
      </c>
      <c r="E8" s="74">
        <v>2.5</v>
      </c>
    </row>
    <row r="9" spans="2:5">
      <c r="B9" s="82">
        <v>2001</v>
      </c>
      <c r="C9" s="72">
        <v>1.25</v>
      </c>
      <c r="D9" s="73">
        <v>1.75</v>
      </c>
      <c r="E9" s="74">
        <v>2.25</v>
      </c>
    </row>
    <row r="10" spans="2:5">
      <c r="B10" s="82">
        <v>2002</v>
      </c>
      <c r="C10" s="72">
        <v>1.25</v>
      </c>
      <c r="D10" s="73">
        <v>1.75</v>
      </c>
      <c r="E10" s="74">
        <v>2.25</v>
      </c>
    </row>
    <row r="11" spans="2:5">
      <c r="B11" s="82">
        <v>2003</v>
      </c>
      <c r="C11" s="72">
        <v>1.25</v>
      </c>
      <c r="D11" s="73">
        <v>1.75</v>
      </c>
      <c r="E11" s="74">
        <v>2.25</v>
      </c>
    </row>
    <row r="12" spans="2:5">
      <c r="B12" s="82">
        <v>2004</v>
      </c>
      <c r="C12" s="72">
        <v>1.5</v>
      </c>
      <c r="D12" s="73">
        <v>2</v>
      </c>
      <c r="E12" s="74">
        <v>2.5</v>
      </c>
    </row>
    <row r="13" spans="2:5">
      <c r="B13" s="82">
        <v>2005</v>
      </c>
      <c r="C13" s="72">
        <v>1.5</v>
      </c>
      <c r="D13" s="73">
        <v>2</v>
      </c>
      <c r="E13" s="74">
        <v>2.5</v>
      </c>
    </row>
    <row r="14" spans="2:5">
      <c r="B14" s="82">
        <v>2006</v>
      </c>
      <c r="C14" s="72">
        <v>1.5</v>
      </c>
      <c r="D14" s="73">
        <v>2</v>
      </c>
      <c r="E14" s="74">
        <v>2.5</v>
      </c>
    </row>
    <row r="15" spans="2:5">
      <c r="B15" s="82">
        <v>2007</v>
      </c>
      <c r="C15" s="72">
        <v>1.5</v>
      </c>
      <c r="D15" s="73">
        <v>2</v>
      </c>
      <c r="E15" s="74">
        <v>2.5</v>
      </c>
    </row>
    <row r="16" spans="2:5">
      <c r="B16" s="82">
        <v>2008</v>
      </c>
      <c r="C16" s="72">
        <v>1.5</v>
      </c>
      <c r="D16" s="73">
        <v>2</v>
      </c>
      <c r="E16" s="74">
        <v>2.5</v>
      </c>
    </row>
    <row r="17" spans="2:5" ht="15.75" thickBot="1">
      <c r="B17" s="83">
        <v>2009</v>
      </c>
      <c r="C17" s="75">
        <v>1.75</v>
      </c>
      <c r="D17" s="76">
        <v>2.5</v>
      </c>
      <c r="E17" s="77">
        <v>2.75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Q28"/>
  <sheetViews>
    <sheetView tabSelected="1" zoomScale="71" zoomScaleNormal="71" workbookViewId="0">
      <selection activeCell="H4" sqref="H4"/>
    </sheetView>
  </sheetViews>
  <sheetFormatPr baseColWidth="10" defaultRowHeight="15"/>
  <cols>
    <col min="2" max="2" width="2.85546875" customWidth="1"/>
    <col min="3" max="3" width="10.42578125" bestFit="1" customWidth="1"/>
    <col min="4" max="4" width="25.5703125" bestFit="1" customWidth="1"/>
    <col min="5" max="5" width="20.42578125" bestFit="1" customWidth="1"/>
    <col min="6" max="6" width="23.7109375" bestFit="1" customWidth="1"/>
  </cols>
  <sheetData>
    <row r="1" spans="2:17" ht="15.75" thickBot="1"/>
    <row r="2" spans="2:17" ht="27.75" customHeight="1">
      <c r="C2" s="97" t="s">
        <v>46</v>
      </c>
      <c r="D2" s="100" t="s">
        <v>51</v>
      </c>
      <c r="E2" s="100" t="s">
        <v>52</v>
      </c>
      <c r="F2" s="96" t="s">
        <v>53</v>
      </c>
    </row>
    <row r="3" spans="2:17" ht="30.75" customHeight="1" thickBot="1">
      <c r="C3" s="98">
        <v>500</v>
      </c>
      <c r="D3" s="101">
        <v>4000</v>
      </c>
      <c r="E3" s="102">
        <v>1</v>
      </c>
      <c r="F3" s="99">
        <v>4000</v>
      </c>
    </row>
    <row r="5" spans="2:17" ht="18.75">
      <c r="C5" s="13" t="s">
        <v>47</v>
      </c>
    </row>
    <row r="6" spans="2:17" ht="15.75" thickBot="1"/>
    <row r="7" spans="2:17" ht="15.75">
      <c r="B7" s="85" t="s">
        <v>28</v>
      </c>
      <c r="C7" s="185" t="s">
        <v>48</v>
      </c>
      <c r="D7" s="187"/>
      <c r="E7" s="187"/>
    </row>
    <row r="8" spans="2:17" ht="15.75">
      <c r="B8" s="86"/>
      <c r="C8" s="185" t="s">
        <v>49</v>
      </c>
      <c r="D8" s="186"/>
      <c r="E8" s="186"/>
    </row>
    <row r="9" spans="2:17" ht="15.75">
      <c r="B9" s="86"/>
      <c r="C9" s="185" t="s">
        <v>50</v>
      </c>
      <c r="D9" s="186"/>
      <c r="E9" s="186"/>
    </row>
    <row r="10" spans="2:17" ht="16.5" thickBot="1">
      <c r="B10" s="87"/>
      <c r="C10" s="185" t="s">
        <v>54</v>
      </c>
      <c r="D10" s="187"/>
      <c r="E10" s="187"/>
    </row>
    <row r="11" spans="2:17" ht="15.75" thickBot="1"/>
    <row r="12" spans="2:17" ht="19.5" thickBot="1">
      <c r="G12" s="91">
        <f>IF(OR(B7="X",B9="X"),491,IF(B8="X",681,IF(B10="X",416,"Aucun cas")))</f>
        <v>491</v>
      </c>
      <c r="H12" s="89"/>
      <c r="I12" s="94" t="str">
        <f>IF(OR(B7="X",B9="X"),"Provisions pour dépréciation des comptes de clients",IF(B8="X","Dotations aux amortissements et aux provisions - Charges d'exploitation",IF(B10="X","Clients douteux ou litigieux","Aucun cas")))</f>
        <v>Provisions pour dépréciation des comptes de clients</v>
      </c>
      <c r="J12" s="94"/>
      <c r="K12" s="94"/>
      <c r="L12" s="94"/>
      <c r="M12" s="94"/>
      <c r="N12" s="94"/>
      <c r="O12" s="94"/>
      <c r="P12" s="93">
        <f>IF(OR(B7="X",B9="X"),F3,IF(B8="X",F3,IF(B10="X",C3,"Aucun cas")))</f>
        <v>4000</v>
      </c>
      <c r="Q12" s="88"/>
    </row>
    <row r="13" spans="2:17" ht="19.5" thickBot="1">
      <c r="G13" s="84"/>
      <c r="H13" s="103">
        <f>IF(OR(B7="X",B9="X"),781,IF(B8="X",491,IF(B10="X",411,"Aucun cas")))</f>
        <v>781</v>
      </c>
      <c r="I13" s="94"/>
      <c r="J13" s="94" t="str">
        <f>IF(OR(B7="X",B9="X"),"Reprises sur amortissements et provisions",IF(B8="X","Provisions pour dépréciation des comptes de clients",IF(B10="X","Clients","Aucun cas")))</f>
        <v>Reprises sur amortissements et provisions</v>
      </c>
      <c r="K13" s="94"/>
      <c r="L13" s="94"/>
      <c r="M13" s="94"/>
      <c r="N13" s="94"/>
      <c r="O13" s="94"/>
      <c r="P13" s="104"/>
      <c r="Q13" s="92">
        <f>IF(OR(B7="X",B9="X"),F3,IF(B8="X",F3,IF(B10="X",C3,"Aucun cas")))</f>
        <v>4000</v>
      </c>
    </row>
    <row r="14" spans="2:17" ht="19.5" thickBot="1">
      <c r="G14" s="105" t="str">
        <f>IF(OR(B7="X",B8="X"),"",IF(B9="X",654,IF(B10="X",681,"Aucun cas")))</f>
        <v/>
      </c>
      <c r="H14" s="106"/>
      <c r="I14" s="94" t="str">
        <f>IF(OR(B7="X",B8="X"),"",IF(B9="X","Pertes sur créances irrécouvrables",IF(B10="X","Dotations aux amortissements et aux provisions - Charges d'exploitation","Aucun cas")))</f>
        <v/>
      </c>
      <c r="J14" s="94"/>
      <c r="K14" s="94"/>
      <c r="L14" s="94"/>
      <c r="M14" s="94"/>
      <c r="N14" s="94"/>
      <c r="O14" s="94"/>
      <c r="P14" s="93" t="str">
        <f>IF(OR(B7="X",B8="X"),"",IF(B9="X",C3,IF(B10="X",F3,"Aucun cas")))</f>
        <v/>
      </c>
    </row>
    <row r="15" spans="2:17" ht="19.5" thickBot="1">
      <c r="H15" s="90" t="str">
        <f>IF(OR(B7="X",B8="X"),"",IF(B9="X",416,IF(B10="X",491,"Aucun cas")))</f>
        <v/>
      </c>
      <c r="I15" s="95"/>
      <c r="J15" s="95" t="str">
        <f>IF(OR(B7="X",B8="X"),"",IF(B9="X","Clients douteux ou litigieux",IF(B10="X","Provisions pour dépréciation des comptes de clients","Aucun cas")))</f>
        <v/>
      </c>
      <c r="K15" s="95"/>
      <c r="L15" s="95"/>
      <c r="M15" s="95"/>
      <c r="N15" s="95"/>
      <c r="O15" s="95"/>
      <c r="P15" s="107"/>
      <c r="Q15" s="92" t="str">
        <f>IF(OR(B7="X",B8="X"),"",IF(B9="X",C3,IF(B10="X",F3,"Aucun cas")))</f>
        <v/>
      </c>
    </row>
    <row r="18" spans="3:11">
      <c r="C18" s="198"/>
      <c r="D18" s="198"/>
      <c r="E18" s="198"/>
      <c r="F18" s="198"/>
      <c r="G18" s="198"/>
      <c r="H18" s="198"/>
      <c r="I18" s="198"/>
      <c r="J18" s="198"/>
    </row>
    <row r="19" spans="3:11">
      <c r="C19" s="198"/>
      <c r="D19" s="196"/>
      <c r="E19" s="176"/>
      <c r="F19" s="175"/>
      <c r="G19" s="175"/>
      <c r="H19" s="175"/>
      <c r="I19" s="176"/>
      <c r="J19" s="198"/>
      <c r="K19" s="176"/>
    </row>
    <row r="20" spans="3:11">
      <c r="C20" s="198"/>
      <c r="D20" s="197"/>
      <c r="E20" s="197"/>
      <c r="F20" s="198"/>
      <c r="G20" s="197"/>
      <c r="H20" s="197"/>
      <c r="I20" s="198"/>
      <c r="J20" s="198"/>
      <c r="K20" s="176"/>
    </row>
    <row r="21" spans="3:11">
      <c r="C21" s="198"/>
      <c r="D21" s="197"/>
      <c r="E21" s="197"/>
      <c r="F21" s="198"/>
      <c r="G21" s="197"/>
      <c r="H21" s="197"/>
      <c r="I21" s="198"/>
      <c r="J21" s="198"/>
      <c r="K21" s="176"/>
    </row>
    <row r="22" spans="3:11">
      <c r="C22" s="198"/>
      <c r="D22" s="197"/>
      <c r="E22" s="197"/>
      <c r="F22" s="198"/>
      <c r="G22" s="197"/>
      <c r="H22" s="197"/>
      <c r="I22" s="198"/>
      <c r="J22" s="198"/>
    </row>
    <row r="23" spans="3:11">
      <c r="C23" s="198"/>
      <c r="D23" s="196"/>
      <c r="E23" s="197"/>
      <c r="F23" s="196"/>
      <c r="G23" s="197"/>
      <c r="H23" s="197"/>
      <c r="I23" s="198"/>
      <c r="J23" s="198"/>
    </row>
    <row r="24" spans="3:11">
      <c r="C24" s="198"/>
      <c r="D24" s="196"/>
      <c r="E24" s="197"/>
      <c r="F24" s="198"/>
      <c r="G24" s="197"/>
      <c r="H24" s="197"/>
      <c r="I24" s="198"/>
      <c r="J24" s="198"/>
    </row>
    <row r="25" spans="3:11">
      <c r="C25" s="198"/>
      <c r="D25" s="197"/>
      <c r="E25" s="197"/>
      <c r="F25" s="198"/>
      <c r="G25" s="197"/>
      <c r="H25" s="197"/>
      <c r="I25" s="198"/>
      <c r="J25" s="198"/>
    </row>
    <row r="26" spans="3:11">
      <c r="C26" s="198"/>
      <c r="D26" s="198"/>
      <c r="E26" s="198"/>
      <c r="F26" s="198"/>
      <c r="G26" s="198"/>
      <c r="H26" s="198"/>
      <c r="I26" s="198"/>
      <c r="J26" s="198"/>
    </row>
    <row r="27" spans="3:11">
      <c r="C27" s="198"/>
      <c r="D27" s="198"/>
      <c r="E27" s="198"/>
      <c r="F27" s="198"/>
      <c r="G27" s="198"/>
      <c r="H27" s="198"/>
      <c r="I27" s="198"/>
      <c r="J27" s="198"/>
    </row>
    <row r="28" spans="3:11">
      <c r="C28" s="198"/>
      <c r="D28" s="198"/>
      <c r="E28" s="198"/>
      <c r="F28" s="198"/>
      <c r="G28" s="198"/>
      <c r="H28" s="198"/>
      <c r="I28" s="198"/>
      <c r="J28" s="198"/>
    </row>
  </sheetData>
  <mergeCells count="4">
    <mergeCell ref="C8:E8"/>
    <mergeCell ref="C7:E7"/>
    <mergeCell ref="C9:E9"/>
    <mergeCell ref="C10:E10"/>
  </mergeCells>
  <conditionalFormatting sqref="C7:C10 D7 D10">
    <cfRule type="expression" dxfId="0" priority="1">
      <formula>AND($B7="X")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O24"/>
  <sheetViews>
    <sheetView zoomScale="82" zoomScaleNormal="82" workbookViewId="0">
      <selection activeCell="E23" sqref="E23"/>
    </sheetView>
  </sheetViews>
  <sheetFormatPr baseColWidth="10" defaultRowHeight="15"/>
  <cols>
    <col min="1" max="1" width="3.7109375" customWidth="1"/>
    <col min="2" max="2" width="3.28515625" customWidth="1"/>
    <col min="4" max="4" width="66.5703125" customWidth="1"/>
    <col min="5" max="6" width="16.28515625" customWidth="1"/>
    <col min="13" max="13" width="20.85546875" customWidth="1"/>
  </cols>
  <sheetData>
    <row r="2" spans="2:15" ht="15.75" thickBot="1"/>
    <row r="3" spans="2:15" ht="32.25" thickBot="1">
      <c r="C3" s="134"/>
      <c r="D3" s="134"/>
      <c r="E3" s="135" t="s">
        <v>58</v>
      </c>
      <c r="F3" s="136" t="s">
        <v>57</v>
      </c>
    </row>
    <row r="4" spans="2:15" ht="20.100000000000001" customHeight="1">
      <c r="C4" s="141">
        <v>31</v>
      </c>
      <c r="D4" s="144" t="s">
        <v>55</v>
      </c>
      <c r="E4" s="137">
        <v>15000</v>
      </c>
      <c r="F4" s="139">
        <v>2000</v>
      </c>
    </row>
    <row r="5" spans="2:15" ht="20.100000000000001" customHeight="1">
      <c r="C5" s="142">
        <v>35</v>
      </c>
      <c r="D5" s="145" t="s">
        <v>56</v>
      </c>
      <c r="E5" s="137">
        <v>30000</v>
      </c>
      <c r="F5" s="139">
        <v>12000</v>
      </c>
    </row>
    <row r="6" spans="2:15" ht="20.100000000000001" customHeight="1" thickBot="1">
      <c r="C6" s="143">
        <f>IF(B12="X",391,IF(B13="X",392,IF(B14="X",393,IF(B15="X",394,IF(B16="X",395,IF(B17="X",397," "))))))</f>
        <v>391</v>
      </c>
      <c r="D6" s="146" t="str">
        <f>IF(B12="X",C12,IF(B13="X",C13,IF(B14="X",C14,IF(B15="X",C15,IF(B16="X",C16,IF(B17="X",C17," "))))))</f>
        <v>Dépréciation des matières premières</v>
      </c>
      <c r="E6" s="138">
        <v>600</v>
      </c>
      <c r="F6" s="140">
        <v>200</v>
      </c>
    </row>
    <row r="7" spans="2:15">
      <c r="C7" s="133"/>
      <c r="D7" s="133"/>
      <c r="E7" s="133"/>
      <c r="F7" s="133"/>
    </row>
    <row r="8" spans="2:15" ht="15.75" thickBot="1"/>
    <row r="9" spans="2:15" ht="16.5" thickBot="1">
      <c r="G9" s="151">
        <v>6031</v>
      </c>
      <c r="H9" s="152"/>
      <c r="I9" s="194" t="s">
        <v>60</v>
      </c>
      <c r="J9" s="190"/>
      <c r="K9" s="190"/>
      <c r="L9" s="190"/>
      <c r="M9" s="159"/>
      <c r="N9" s="154">
        <f>F4</f>
        <v>2000</v>
      </c>
      <c r="O9" s="147"/>
    </row>
    <row r="10" spans="2:15" ht="16.5" thickBot="1">
      <c r="G10" s="147"/>
      <c r="H10" s="150">
        <v>31</v>
      </c>
      <c r="I10" s="160"/>
      <c r="J10" s="192" t="s">
        <v>59</v>
      </c>
      <c r="K10" s="192"/>
      <c r="L10" s="192"/>
      <c r="M10" s="193"/>
      <c r="N10" s="155"/>
      <c r="O10" s="154">
        <f>F4</f>
        <v>2000</v>
      </c>
    </row>
    <row r="11" spans="2:15" ht="16.5" thickBot="1">
      <c r="G11" s="151">
        <v>31</v>
      </c>
      <c r="H11" s="153"/>
      <c r="I11" s="195" t="s">
        <v>59</v>
      </c>
      <c r="J11" s="192"/>
      <c r="K11" s="192"/>
      <c r="L11" s="192"/>
      <c r="M11" s="163"/>
      <c r="N11" s="156">
        <f>E4</f>
        <v>15000</v>
      </c>
      <c r="O11" s="147"/>
    </row>
    <row r="12" spans="2:15" ht="16.5" thickBot="1">
      <c r="B12" s="165" t="s">
        <v>28</v>
      </c>
      <c r="C12" t="s">
        <v>65</v>
      </c>
      <c r="G12" s="147"/>
      <c r="H12" s="150">
        <v>6031</v>
      </c>
      <c r="I12" s="160"/>
      <c r="J12" s="192" t="s">
        <v>60</v>
      </c>
      <c r="K12" s="192"/>
      <c r="L12" s="192"/>
      <c r="M12" s="193"/>
      <c r="N12" s="155"/>
      <c r="O12" s="154">
        <f>E4</f>
        <v>15000</v>
      </c>
    </row>
    <row r="13" spans="2:15" ht="16.5" thickBot="1">
      <c r="B13" s="164"/>
      <c r="C13" t="s">
        <v>66</v>
      </c>
    </row>
    <row r="14" spans="2:15" ht="16.5" thickBot="1">
      <c r="B14" s="166"/>
      <c r="C14" t="s">
        <v>67</v>
      </c>
    </row>
    <row r="15" spans="2:15" ht="16.5" thickBot="1">
      <c r="B15" s="164"/>
      <c r="C15" t="s">
        <v>68</v>
      </c>
      <c r="G15" s="151">
        <v>7135</v>
      </c>
      <c r="H15" s="152"/>
      <c r="I15" s="194" t="s">
        <v>61</v>
      </c>
      <c r="J15" s="190"/>
      <c r="K15" s="190"/>
      <c r="L15" s="190"/>
      <c r="M15" s="159"/>
      <c r="N15" s="154">
        <f>F5</f>
        <v>12000</v>
      </c>
      <c r="O15" s="147"/>
    </row>
    <row r="16" spans="2:15" ht="16.5" thickBot="1">
      <c r="B16" s="164"/>
      <c r="C16" t="s">
        <v>69</v>
      </c>
      <c r="G16" s="147"/>
      <c r="H16" s="150">
        <v>35</v>
      </c>
      <c r="I16" s="160"/>
      <c r="J16" s="192" t="s">
        <v>62</v>
      </c>
      <c r="K16" s="192"/>
      <c r="L16" s="192"/>
      <c r="M16" s="193"/>
      <c r="N16" s="155"/>
      <c r="O16" s="154">
        <f>F5</f>
        <v>12000</v>
      </c>
    </row>
    <row r="17" spans="2:15" ht="16.5" thickBot="1">
      <c r="B17" s="167"/>
      <c r="C17" t="s">
        <v>70</v>
      </c>
      <c r="G17" s="151">
        <v>35</v>
      </c>
      <c r="H17" s="148"/>
      <c r="I17" s="188" t="s">
        <v>62</v>
      </c>
      <c r="J17" s="189"/>
      <c r="K17" s="189"/>
      <c r="L17" s="189"/>
      <c r="M17" s="161"/>
      <c r="N17" s="157">
        <f>E5</f>
        <v>30000</v>
      </c>
      <c r="O17" s="147"/>
    </row>
    <row r="18" spans="2:15" ht="16.5" thickBot="1">
      <c r="G18" s="147"/>
      <c r="H18" s="149">
        <v>7135</v>
      </c>
      <c r="I18" s="162"/>
      <c r="J18" s="190" t="s">
        <v>61</v>
      </c>
      <c r="K18" s="190"/>
      <c r="L18" s="190"/>
      <c r="M18" s="191"/>
      <c r="N18" s="158"/>
      <c r="O18" s="154">
        <f>E5</f>
        <v>30000</v>
      </c>
    </row>
    <row r="20" spans="2:15" ht="15.75" thickBot="1"/>
    <row r="21" spans="2:15" ht="16.5" thickBot="1">
      <c r="G21" s="151">
        <f>C6</f>
        <v>391</v>
      </c>
      <c r="H21" s="152"/>
      <c r="I21" s="194" t="s">
        <v>63</v>
      </c>
      <c r="J21" s="190"/>
      <c r="K21" s="190"/>
      <c r="L21" s="190"/>
      <c r="M21" s="191"/>
      <c r="N21" s="154">
        <f>F6</f>
        <v>200</v>
      </c>
      <c r="O21" s="147"/>
    </row>
    <row r="22" spans="2:15" ht="16.5" thickBot="1">
      <c r="G22" s="147"/>
      <c r="H22" s="150">
        <v>781</v>
      </c>
      <c r="I22" s="160"/>
      <c r="J22" s="192" t="s">
        <v>64</v>
      </c>
      <c r="K22" s="192"/>
      <c r="L22" s="192"/>
      <c r="M22" s="193"/>
      <c r="N22" s="155"/>
      <c r="O22" s="154">
        <f>F6</f>
        <v>200</v>
      </c>
    </row>
    <row r="23" spans="2:15" ht="16.5" thickBot="1">
      <c r="G23" s="151">
        <v>681</v>
      </c>
      <c r="H23" s="148"/>
      <c r="I23" s="188" t="s">
        <v>11</v>
      </c>
      <c r="J23" s="189"/>
      <c r="K23" s="189"/>
      <c r="L23" s="189"/>
      <c r="M23" s="161"/>
      <c r="N23" s="157">
        <f>E6</f>
        <v>600</v>
      </c>
      <c r="O23" s="147"/>
    </row>
    <row r="24" spans="2:15" ht="16.5" thickBot="1">
      <c r="G24" s="147"/>
      <c r="H24" s="149">
        <f>C6</f>
        <v>391</v>
      </c>
      <c r="I24" s="162"/>
      <c r="J24" s="190" t="str">
        <f>I21</f>
        <v>Provisions pour dépréciation des matières premières et fourniture</v>
      </c>
      <c r="K24" s="190"/>
      <c r="L24" s="190"/>
      <c r="M24" s="191"/>
      <c r="N24" s="158"/>
      <c r="O24" s="154">
        <f>E6</f>
        <v>600</v>
      </c>
    </row>
  </sheetData>
  <mergeCells count="12">
    <mergeCell ref="J16:M16"/>
    <mergeCell ref="J12:M12"/>
    <mergeCell ref="I11:L11"/>
    <mergeCell ref="J10:M10"/>
    <mergeCell ref="I9:L9"/>
    <mergeCell ref="I15:L15"/>
    <mergeCell ref="I17:L17"/>
    <mergeCell ref="J18:M18"/>
    <mergeCell ref="J22:M22"/>
    <mergeCell ref="I23:L23"/>
    <mergeCell ref="J24:M24"/>
    <mergeCell ref="I21:M2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1-1) Type amortissement</vt:lpstr>
      <vt:lpstr>1-2) Tableau linéaire</vt:lpstr>
      <vt:lpstr>1-3) Tableau Fiscal degressif</vt:lpstr>
      <vt:lpstr>1-annexe)Tableau de coefficient</vt:lpstr>
      <vt:lpstr>2) Client douteux</vt:lpstr>
      <vt:lpstr>3)Stocks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</dc:creator>
  <cp:lastModifiedBy>Administrator</cp:lastModifiedBy>
  <dcterms:created xsi:type="dcterms:W3CDTF">2010-01-06T17:24:35Z</dcterms:created>
  <dcterms:modified xsi:type="dcterms:W3CDTF">2010-01-20T22:25:03Z</dcterms:modified>
</cp:coreProperties>
</file>