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esktop\"/>
    </mc:Choice>
  </mc:AlternateContent>
  <bookViews>
    <workbookView xWindow="0" yWindow="0" windowWidth="12600" windowHeight="10335" activeTab="3"/>
  </bookViews>
  <sheets>
    <sheet name="Sheet1" sheetId="1" r:id="rId1"/>
    <sheet name="Sheet2" sheetId="2" r:id="rId2"/>
    <sheet name="Sheet3" sheetId="3" r:id="rId3"/>
    <sheet name="EB2017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5" l="1"/>
  <c r="H8" i="5"/>
  <c r="C42" i="5" l="1"/>
  <c r="B37" i="5"/>
  <c r="B34" i="5"/>
  <c r="G8" i="5"/>
  <c r="C15" i="5"/>
  <c r="B6" i="5" s="1"/>
  <c r="H4" i="5" s="1"/>
  <c r="I3" i="5"/>
  <c r="D66" i="5"/>
  <c r="B60" i="5"/>
  <c r="B44" i="5"/>
  <c r="F43" i="5" s="1"/>
  <c r="D35" i="5"/>
  <c r="B28" i="5"/>
  <c r="F27" i="5" s="1"/>
  <c r="D26" i="5"/>
  <c r="D20" i="5"/>
  <c r="C16" i="5" l="1"/>
  <c r="C6" i="5" s="1"/>
  <c r="F5" i="5" s="1"/>
  <c r="E4" i="5"/>
  <c r="C4" i="5"/>
  <c r="D4" i="5"/>
  <c r="G4" i="5"/>
  <c r="F44" i="5"/>
  <c r="F4" i="5"/>
  <c r="F28" i="5"/>
  <c r="C38" i="3"/>
  <c r="E5" i="5" l="1"/>
  <c r="E6" i="5" s="1"/>
  <c r="E9" i="5" s="1"/>
  <c r="C36" i="5" s="1"/>
  <c r="B5" i="5"/>
  <c r="I4" i="5"/>
  <c r="D5" i="5"/>
  <c r="D6" i="5" s="1"/>
  <c r="D9" i="5" s="1"/>
  <c r="G5" i="5"/>
  <c r="G6" i="5" s="1"/>
  <c r="G9" i="5" s="1"/>
  <c r="C47" i="5" s="1"/>
  <c r="D47" i="5" s="1"/>
  <c r="H5" i="5"/>
  <c r="H6" i="5" s="1"/>
  <c r="F6" i="5"/>
  <c r="F9" i="5" s="1"/>
  <c r="C37" i="5" s="1"/>
  <c r="E68" i="3"/>
  <c r="B68" i="3"/>
  <c r="G67" i="3"/>
  <c r="D67" i="3"/>
  <c r="C66" i="3"/>
  <c r="D66" i="3" s="1"/>
  <c r="G50" i="3"/>
  <c r="G51" i="3" s="1"/>
  <c r="D51" i="3"/>
  <c r="I22" i="3"/>
  <c r="F22" i="3"/>
  <c r="C32" i="3" s="1"/>
  <c r="D32" i="3" s="1"/>
  <c r="B62" i="3"/>
  <c r="F61" i="3" s="1"/>
  <c r="D60" i="3"/>
  <c r="B57" i="3"/>
  <c r="F56" i="3" s="1"/>
  <c r="D55" i="3"/>
  <c r="C37" i="3"/>
  <c r="C27" i="3"/>
  <c r="D27" i="3" s="1"/>
  <c r="D28" i="3" s="1"/>
  <c r="C28" i="3" s="1"/>
  <c r="C22" i="3"/>
  <c r="H21" i="3"/>
  <c r="E21" i="3"/>
  <c r="B21" i="3"/>
  <c r="E49" i="3"/>
  <c r="E48" i="3"/>
  <c r="G48" i="3" s="1"/>
  <c r="F49" i="3"/>
  <c r="G49" i="3" s="1"/>
  <c r="F48" i="3"/>
  <c r="B49" i="3"/>
  <c r="B48" i="3"/>
  <c r="D48" i="3" s="1"/>
  <c r="C49" i="3"/>
  <c r="C48" i="3"/>
  <c r="G46" i="3"/>
  <c r="G47" i="3"/>
  <c r="D46" i="3"/>
  <c r="D47" i="3"/>
  <c r="E47" i="3"/>
  <c r="B47" i="3"/>
  <c r="E46" i="3"/>
  <c r="B46" i="3"/>
  <c r="E44" i="3"/>
  <c r="B44" i="3"/>
  <c r="E43" i="3"/>
  <c r="B43" i="3"/>
  <c r="D49" i="3"/>
  <c r="B38" i="3"/>
  <c r="F37" i="3" s="1"/>
  <c r="D36" i="3"/>
  <c r="B33" i="3"/>
  <c r="F32" i="3"/>
  <c r="F33" i="3" s="1"/>
  <c r="D31" i="3"/>
  <c r="B28" i="3"/>
  <c r="F27" i="3" s="1"/>
  <c r="D26" i="3"/>
  <c r="J20" i="3"/>
  <c r="G20" i="3"/>
  <c r="D20" i="3"/>
  <c r="D8" i="3"/>
  <c r="C6" i="3"/>
  <c r="F5" i="3" s="1"/>
  <c r="C15" i="3"/>
  <c r="C16" i="3" s="1"/>
  <c r="B6" i="3" s="1"/>
  <c r="G5" i="3"/>
  <c r="I3" i="3"/>
  <c r="B89" i="2"/>
  <c r="F83" i="2"/>
  <c r="G83" i="2" s="1"/>
  <c r="C87" i="2"/>
  <c r="D87" i="2"/>
  <c r="E85" i="2"/>
  <c r="E87" i="2" s="1"/>
  <c r="G84" i="2"/>
  <c r="C85" i="2"/>
  <c r="D85" i="2"/>
  <c r="B87" i="2"/>
  <c r="B86" i="2"/>
  <c r="B85" i="2"/>
  <c r="D84" i="2"/>
  <c r="D86" i="2"/>
  <c r="B84" i="2"/>
  <c r="D83" i="2"/>
  <c r="C83" i="2"/>
  <c r="G73" i="2"/>
  <c r="G72" i="2"/>
  <c r="C77" i="2"/>
  <c r="C78" i="2"/>
  <c r="B79" i="2"/>
  <c r="F78" i="2" s="1"/>
  <c r="D78" i="2"/>
  <c r="D79" i="2" s="1"/>
  <c r="C72" i="2"/>
  <c r="C73" i="2"/>
  <c r="B74" i="2"/>
  <c r="F73" i="2" s="1"/>
  <c r="F74" i="2" s="1"/>
  <c r="D73" i="2"/>
  <c r="E68" i="2"/>
  <c r="G68" i="2" s="1"/>
  <c r="B68" i="2"/>
  <c r="D68" i="2"/>
  <c r="G67" i="2"/>
  <c r="D67" i="2"/>
  <c r="G66" i="2"/>
  <c r="D66" i="2"/>
  <c r="G61" i="2"/>
  <c r="G60" i="2"/>
  <c r="G59" i="2"/>
  <c r="G58" i="2"/>
  <c r="C61" i="2"/>
  <c r="D61" i="2"/>
  <c r="D60" i="2"/>
  <c r="D59" i="2"/>
  <c r="D58" i="2"/>
  <c r="F52" i="2"/>
  <c r="F50" i="2"/>
  <c r="B52" i="2"/>
  <c r="D51" i="2"/>
  <c r="D50" i="2"/>
  <c r="D52" i="2" s="1"/>
  <c r="C52" i="2" s="1"/>
  <c r="G50" i="2" s="1"/>
  <c r="D44" i="2"/>
  <c r="D45" i="2"/>
  <c r="D46" i="2"/>
  <c r="D43" i="2"/>
  <c r="D47" i="2" s="1"/>
  <c r="C47" i="2" s="1"/>
  <c r="F38" i="2"/>
  <c r="F39" i="2" s="1"/>
  <c r="H39" i="2" s="1"/>
  <c r="I5" i="5" l="1"/>
  <c r="D36" i="5"/>
  <c r="C21" i="5"/>
  <c r="D21" i="5" s="1"/>
  <c r="D22" i="5" s="1"/>
  <c r="C22" i="5" s="1"/>
  <c r="C27" i="5" s="1"/>
  <c r="D27" i="5" s="1"/>
  <c r="D28" i="5" s="1"/>
  <c r="C28" i="5" s="1"/>
  <c r="D37" i="5"/>
  <c r="G69" i="3"/>
  <c r="D68" i="3"/>
  <c r="C68" i="3" s="1"/>
  <c r="D69" i="3"/>
  <c r="F62" i="3"/>
  <c r="F57" i="3"/>
  <c r="G26" i="3"/>
  <c r="H26" i="3" s="1"/>
  <c r="C43" i="3"/>
  <c r="D4" i="3"/>
  <c r="D6" i="3" s="1"/>
  <c r="D9" i="3" s="1"/>
  <c r="E4" i="3"/>
  <c r="B5" i="3"/>
  <c r="E5" i="3"/>
  <c r="D5" i="3"/>
  <c r="D37" i="3"/>
  <c r="D38" i="3" s="1"/>
  <c r="D33" i="3"/>
  <c r="C33" i="3" s="1"/>
  <c r="F38" i="3"/>
  <c r="G27" i="3"/>
  <c r="G28" i="3" s="1"/>
  <c r="F28" i="3"/>
  <c r="I5" i="3"/>
  <c r="G4" i="3"/>
  <c r="C4" i="3"/>
  <c r="F4" i="3"/>
  <c r="F6" i="3" s="1"/>
  <c r="F9" i="3" s="1"/>
  <c r="E6" i="3"/>
  <c r="E9" i="3" s="1"/>
  <c r="G6" i="3"/>
  <c r="G9" i="3" s="1"/>
  <c r="I4" i="3"/>
  <c r="G85" i="2"/>
  <c r="G87" i="2" s="1"/>
  <c r="F87" i="2" s="1"/>
  <c r="F85" i="2"/>
  <c r="E86" i="2"/>
  <c r="G86" i="2" s="1"/>
  <c r="C79" i="2"/>
  <c r="G77" i="2" s="1"/>
  <c r="G78" i="2" s="1"/>
  <c r="F79" i="2"/>
  <c r="D74" i="2"/>
  <c r="C74" i="2" s="1"/>
  <c r="H72" i="2" s="1"/>
  <c r="G74" i="2"/>
  <c r="G69" i="2"/>
  <c r="D69" i="2"/>
  <c r="C69" i="2" s="1"/>
  <c r="F53" i="2"/>
  <c r="G51" i="2"/>
  <c r="H50" i="2"/>
  <c r="B39" i="2"/>
  <c r="D37" i="2"/>
  <c r="F33" i="2"/>
  <c r="F34" i="2" s="1"/>
  <c r="B34" i="2"/>
  <c r="D33" i="2"/>
  <c r="D32" i="2"/>
  <c r="F28" i="2"/>
  <c r="C38" i="2" s="1"/>
  <c r="D38" i="2" s="1"/>
  <c r="C28" i="2"/>
  <c r="C33" i="2" s="1"/>
  <c r="G27" i="2"/>
  <c r="D27" i="2"/>
  <c r="G26" i="2"/>
  <c r="G28" i="2" s="1"/>
  <c r="D26" i="2"/>
  <c r="D28" i="2" s="1"/>
  <c r="G8" i="2"/>
  <c r="F8" i="2"/>
  <c r="G9" i="2"/>
  <c r="F5" i="2"/>
  <c r="E5" i="2"/>
  <c r="D5" i="2"/>
  <c r="B5" i="2"/>
  <c r="I5" i="2" s="1"/>
  <c r="G4" i="2"/>
  <c r="F4" i="2"/>
  <c r="E4" i="2"/>
  <c r="D4" i="2"/>
  <c r="D6" i="2" s="1"/>
  <c r="D9" i="2" s="1"/>
  <c r="C4" i="2"/>
  <c r="I3" i="2"/>
  <c r="F6" i="2"/>
  <c r="G6" i="2"/>
  <c r="C34" i="1"/>
  <c r="D34" i="1"/>
  <c r="D33" i="1"/>
  <c r="D32" i="1"/>
  <c r="D29" i="1"/>
  <c r="D30" i="1"/>
  <c r="D24" i="1"/>
  <c r="C24" i="1"/>
  <c r="D22" i="1"/>
  <c r="D23" i="1"/>
  <c r="C23" i="1"/>
  <c r="C22" i="1"/>
  <c r="D16" i="1"/>
  <c r="E13" i="1"/>
  <c r="D13" i="1"/>
  <c r="B13" i="1"/>
  <c r="C13" i="1"/>
  <c r="C34" i="5" l="1"/>
  <c r="G26" i="5"/>
  <c r="D70" i="3"/>
  <c r="G36" i="3"/>
  <c r="G37" i="3" s="1"/>
  <c r="G38" i="3" s="1"/>
  <c r="C45" i="3"/>
  <c r="G31" i="3"/>
  <c r="H31" i="3" s="1"/>
  <c r="C44" i="3"/>
  <c r="F43" i="3"/>
  <c r="G43" i="3" s="1"/>
  <c r="D43" i="3"/>
  <c r="C21" i="3"/>
  <c r="I21" i="3"/>
  <c r="F21" i="3"/>
  <c r="H27" i="3"/>
  <c r="H28" i="3" s="1"/>
  <c r="I6" i="3"/>
  <c r="G79" i="2"/>
  <c r="H78" i="2"/>
  <c r="H77" i="2"/>
  <c r="H79" i="2"/>
  <c r="H73" i="2"/>
  <c r="H74" i="2" s="1"/>
  <c r="H53" i="2"/>
  <c r="E6" i="2"/>
  <c r="E9" i="2" s="1"/>
  <c r="D34" i="2"/>
  <c r="C34" i="2" s="1"/>
  <c r="G32" i="2" s="1"/>
  <c r="H32" i="2" s="1"/>
  <c r="D39" i="2"/>
  <c r="C39" i="2" s="1"/>
  <c r="G37" i="2" s="1"/>
  <c r="H37" i="2" s="1"/>
  <c r="G53" i="2"/>
  <c r="G52" i="2"/>
  <c r="H52" i="2" s="1"/>
  <c r="F9" i="2"/>
  <c r="H51" i="2"/>
  <c r="G33" i="2"/>
  <c r="G38" i="2"/>
  <c r="G40" i="2" s="1"/>
  <c r="F40" i="2"/>
  <c r="I6" i="2"/>
  <c r="I4" i="2"/>
  <c r="G27" i="5" l="1"/>
  <c r="H26" i="5"/>
  <c r="D34" i="5"/>
  <c r="C70" i="3"/>
  <c r="H36" i="3"/>
  <c r="H38" i="3" s="1"/>
  <c r="F45" i="3"/>
  <c r="G45" i="3" s="1"/>
  <c r="D45" i="3"/>
  <c r="H37" i="3"/>
  <c r="D44" i="3"/>
  <c r="C51" i="3" s="1"/>
  <c r="C56" i="3" s="1"/>
  <c r="F44" i="3"/>
  <c r="G44" i="3" s="1"/>
  <c r="F51" i="3" s="1"/>
  <c r="G32" i="3"/>
  <c r="J21" i="3"/>
  <c r="J22" i="3" s="1"/>
  <c r="D21" i="3"/>
  <c r="D22" i="3" s="1"/>
  <c r="G21" i="3"/>
  <c r="G22" i="3" s="1"/>
  <c r="G34" i="2"/>
  <c r="H33" i="2"/>
  <c r="H34" i="2" s="1"/>
  <c r="H38" i="2"/>
  <c r="H40" i="2" s="1"/>
  <c r="D38" i="5" l="1"/>
  <c r="C38" i="5" s="1"/>
  <c r="G28" i="5"/>
  <c r="H27" i="5"/>
  <c r="H28" i="5" s="1"/>
  <c r="D56" i="3"/>
  <c r="D57" i="3" s="1"/>
  <c r="C57" i="3" s="1"/>
  <c r="G55" i="3" s="1"/>
  <c r="C61" i="3"/>
  <c r="D61" i="3" s="1"/>
  <c r="D62" i="3" s="1"/>
  <c r="C62" i="3" s="1"/>
  <c r="G60" i="3" s="1"/>
  <c r="G33" i="3"/>
  <c r="H32" i="3"/>
  <c r="H33" i="3" s="1"/>
  <c r="C43" i="5" l="1"/>
  <c r="D43" i="5" s="1"/>
  <c r="D44" i="5" s="1"/>
  <c r="C44" i="5" s="1"/>
  <c r="G42" i="5" s="1"/>
  <c r="H9" i="5"/>
  <c r="C48" i="5" s="1"/>
  <c r="D48" i="5" s="1"/>
  <c r="D49" i="5" s="1"/>
  <c r="H55" i="3"/>
  <c r="G56" i="3"/>
  <c r="G61" i="3"/>
  <c r="H60" i="3"/>
  <c r="C58" i="5" l="1"/>
  <c r="D58" i="5" s="1"/>
  <c r="D60" i="5" s="1"/>
  <c r="G43" i="5"/>
  <c r="H42" i="5"/>
  <c r="G57" i="3"/>
  <c r="H56" i="3"/>
  <c r="H57" i="3" s="1"/>
  <c r="G62" i="3"/>
  <c r="F66" i="3" s="1"/>
  <c r="G66" i="3" s="1"/>
  <c r="G68" i="3" s="1"/>
  <c r="H61" i="3"/>
  <c r="H62" i="3" s="1"/>
  <c r="D68" i="5" l="1"/>
  <c r="C68" i="5" s="1"/>
  <c r="D67" i="5"/>
  <c r="C60" i="5"/>
  <c r="C67" i="5" s="1"/>
  <c r="G44" i="5"/>
  <c r="H43" i="5"/>
  <c r="H44" i="5" s="1"/>
  <c r="F68" i="3"/>
  <c r="G70" i="3"/>
  <c r="F70" i="3" l="1"/>
  <c r="B72" i="3"/>
</calcChain>
</file>

<file path=xl/sharedStrings.xml><?xml version="1.0" encoding="utf-8"?>
<sst xmlns="http://schemas.openxmlformats.org/spreadsheetml/2006/main" count="452" uniqueCount="148">
  <si>
    <t>Qtt</t>
  </si>
  <si>
    <t>Prix</t>
  </si>
  <si>
    <t>Verre</t>
  </si>
  <si>
    <t>Aluminium</t>
  </si>
  <si>
    <t>Bois</t>
  </si>
  <si>
    <t>Alu</t>
  </si>
  <si>
    <t>Montant des achats</t>
  </si>
  <si>
    <t>Coût de transport</t>
  </si>
  <si>
    <t>Total Charges directes</t>
  </si>
  <si>
    <t>Charges Indirectes</t>
  </si>
  <si>
    <t>Coût d'achat de la matière</t>
  </si>
  <si>
    <t>X</t>
  </si>
  <si>
    <t>Y</t>
  </si>
  <si>
    <t>Z</t>
  </si>
  <si>
    <t>1000X</t>
  </si>
  <si>
    <t>400Y</t>
  </si>
  <si>
    <t>1000Z</t>
  </si>
  <si>
    <t>5000+1000X</t>
  </si>
  <si>
    <t>1000m2 (2500 kg)</t>
  </si>
  <si>
    <t>1000X+18461</t>
  </si>
  <si>
    <t>400Y+2153</t>
  </si>
  <si>
    <t>1000Z+5384</t>
  </si>
  <si>
    <t>=</t>
  </si>
  <si>
    <t>XYZ</t>
  </si>
  <si>
    <t>CMUP</t>
  </si>
  <si>
    <t>Q</t>
  </si>
  <si>
    <t>CU</t>
  </si>
  <si>
    <t>Montant</t>
  </si>
  <si>
    <t>Stock initial</t>
  </si>
  <si>
    <t>Cout d'achat de la matière</t>
  </si>
  <si>
    <t>Stock dispo</t>
  </si>
  <si>
    <t>Stock final</t>
  </si>
  <si>
    <t>Cout d'achat de la matière consommée (flux sortant)</t>
  </si>
  <si>
    <t>LIFO</t>
  </si>
  <si>
    <t>48,46;45</t>
  </si>
  <si>
    <t>1er stock restant</t>
  </si>
  <si>
    <t>2e stock restant</t>
  </si>
  <si>
    <t>Charges par nature</t>
  </si>
  <si>
    <t>Centres auxiliaires</t>
  </si>
  <si>
    <t>Centres principaux</t>
  </si>
  <si>
    <t>Entretien</t>
  </si>
  <si>
    <t>Energie</t>
  </si>
  <si>
    <t>Approvisionnement</t>
  </si>
  <si>
    <t>Atelier 1</t>
  </si>
  <si>
    <t>Atelier 2</t>
  </si>
  <si>
    <t>Distribution</t>
  </si>
  <si>
    <t>Total après répartition primaire</t>
  </si>
  <si>
    <t>Total après répartition secondaire</t>
  </si>
  <si>
    <t>Répartition secondaire Entretien</t>
  </si>
  <si>
    <t>Répartition secondaire Energie</t>
  </si>
  <si>
    <t>Nature UO</t>
  </si>
  <si>
    <t>Nombre UO</t>
  </si>
  <si>
    <t>Coût UO</t>
  </si>
  <si>
    <t>kg matière achetée</t>
  </si>
  <si>
    <t>kg matière utilisée</t>
  </si>
  <si>
    <t>heure MOD</t>
  </si>
  <si>
    <t>100€ CA</t>
  </si>
  <si>
    <t>Vérif</t>
  </si>
  <si>
    <t>C=44000+5%*NRJ</t>
  </si>
  <si>
    <t>Système d'équation à résoudre EN PREMIER</t>
  </si>
  <si>
    <t>Coût d'achat MP</t>
  </si>
  <si>
    <t>Fiche stocks MP</t>
  </si>
  <si>
    <t>Fiche stocks PSF</t>
  </si>
  <si>
    <t>Cout production PSF</t>
  </si>
  <si>
    <t>Cout X</t>
  </si>
  <si>
    <t>Cout Y</t>
  </si>
  <si>
    <t>Fiches stocks X et Y</t>
  </si>
  <si>
    <t>Cout de revient et RA</t>
  </si>
  <si>
    <t>M</t>
  </si>
  <si>
    <t>A</t>
  </si>
  <si>
    <t>B</t>
  </si>
  <si>
    <t>Prix d'achat</t>
  </si>
  <si>
    <t>Charges indirectes</t>
  </si>
  <si>
    <t>Coût d'achat</t>
  </si>
  <si>
    <t>Matière A</t>
  </si>
  <si>
    <t>Entrées</t>
  </si>
  <si>
    <t>Total</t>
  </si>
  <si>
    <t>Sorties</t>
  </si>
  <si>
    <t>Matière B</t>
  </si>
  <si>
    <t>Différence d'inventaire</t>
  </si>
  <si>
    <t>Matière A utilisée</t>
  </si>
  <si>
    <t>Matière B utilisée</t>
  </si>
  <si>
    <t>MOD</t>
  </si>
  <si>
    <t>PSF</t>
  </si>
  <si>
    <t>Cout production X</t>
  </si>
  <si>
    <t>PSF utilisés</t>
  </si>
  <si>
    <t>Finis</t>
  </si>
  <si>
    <t>En-cours</t>
  </si>
  <si>
    <t>Centre Atelier 2</t>
  </si>
  <si>
    <t>En-cours initial</t>
  </si>
  <si>
    <t>Cout production</t>
  </si>
  <si>
    <t>Cout production Y</t>
  </si>
  <si>
    <t>Fac</t>
  </si>
  <si>
    <t>D=115000+10%*Entretien</t>
  </si>
  <si>
    <t>Coût de revient et RA</t>
  </si>
  <si>
    <t>Produit X</t>
  </si>
  <si>
    <t>Produit Y</t>
  </si>
  <si>
    <t>Coût Production</t>
  </si>
  <si>
    <t>C Distribution</t>
  </si>
  <si>
    <t>C Revient</t>
  </si>
  <si>
    <t>CA</t>
  </si>
  <si>
    <t>Résultat Analytique</t>
  </si>
  <si>
    <t>Résultat Global</t>
  </si>
  <si>
    <t>Gestion matériel</t>
  </si>
  <si>
    <t>Gestion Personnel</t>
  </si>
  <si>
    <t>Administration</t>
  </si>
  <si>
    <t>Mat=18000+10%*Perso</t>
  </si>
  <si>
    <t>Perso=30000+10%*Mat</t>
  </si>
  <si>
    <t>Perso=30000+1800+1%Perso</t>
  </si>
  <si>
    <t>Perso=</t>
  </si>
  <si>
    <t>mat=</t>
  </si>
  <si>
    <t>100€ prix achat</t>
  </si>
  <si>
    <t>kg excipient malaxé</t>
  </si>
  <si>
    <t>Nb produits finis</t>
  </si>
  <si>
    <t>Excipient</t>
  </si>
  <si>
    <t>Principe actif</t>
  </si>
  <si>
    <t>Pots vides</t>
  </si>
  <si>
    <t>Forme</t>
  </si>
  <si>
    <t>Centre Atelier 1</t>
  </si>
  <si>
    <t>MOD Atelier 1</t>
  </si>
  <si>
    <t>MOD Atelier 2</t>
  </si>
  <si>
    <t>Excipient utilisé</t>
  </si>
  <si>
    <t>Principe actif utilisé</t>
  </si>
  <si>
    <t>Pots utilisés</t>
  </si>
  <si>
    <t>C Administration</t>
  </si>
  <si>
    <t>Résultat global</t>
  </si>
  <si>
    <t>Montage</t>
  </si>
  <si>
    <t>Finition</t>
  </si>
  <si>
    <t>Transport</t>
  </si>
  <si>
    <t>Entretien=40000+10%*Trans</t>
  </si>
  <si>
    <t>Trans=60000+20%*Ent</t>
  </si>
  <si>
    <t>Ent=40000+6000+0,02*Ent</t>
  </si>
  <si>
    <t>Ent</t>
  </si>
  <si>
    <t>Trans</t>
  </si>
  <si>
    <t>100 m</t>
  </si>
  <si>
    <t>1h MOD</t>
  </si>
  <si>
    <t>1 produit fini</t>
  </si>
  <si>
    <t>100€ vente</t>
  </si>
  <si>
    <t>100€ coût de prod des marinières vendues</t>
  </si>
  <si>
    <t>Coût d'achat Tissu</t>
  </si>
  <si>
    <t>Stock tissu</t>
  </si>
  <si>
    <t>Tissu utilisé</t>
  </si>
  <si>
    <t>MOD directe</t>
  </si>
  <si>
    <t>Marinière</t>
  </si>
  <si>
    <t>Cout HP</t>
  </si>
  <si>
    <t>C HP</t>
  </si>
  <si>
    <t>Prix de vente</t>
  </si>
  <si>
    <t>Rés Marinières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</si>
</sst>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"/>
  <sheetViews>
    <sheetView workbookViewId="0">
      <selection activeCell="C35" sqref="C35"/>
    </sheetView>
  </sheetViews>
  <sheetFormatPr defaultRowHeight="15" x14ac:dyDescent="0.25"/>
  <cols>
    <col min="1" max="1" width="48.140625" customWidth="1"/>
    <col min="2" max="2" width="17.85546875" customWidth="1"/>
    <col min="3" max="3" width="14.85546875" customWidth="1"/>
    <col min="4" max="4" width="15.42578125" customWidth="1"/>
  </cols>
  <sheetData>
    <row r="3" spans="1:5" x14ac:dyDescent="0.25">
      <c r="B3" t="s">
        <v>2</v>
      </c>
    </row>
    <row r="4" spans="1:5" x14ac:dyDescent="0.25">
      <c r="B4" t="s">
        <v>3</v>
      </c>
    </row>
    <row r="5" spans="1:5" x14ac:dyDescent="0.25">
      <c r="B5" t="s">
        <v>4</v>
      </c>
    </row>
    <row r="7" spans="1:5" x14ac:dyDescent="0.25">
      <c r="B7" t="s">
        <v>2</v>
      </c>
      <c r="C7" t="s">
        <v>5</v>
      </c>
      <c r="D7" t="s">
        <v>4</v>
      </c>
    </row>
    <row r="8" spans="1:5" x14ac:dyDescent="0.25">
      <c r="A8" t="s">
        <v>0</v>
      </c>
      <c r="B8" t="s">
        <v>18</v>
      </c>
      <c r="C8">
        <v>400</v>
      </c>
      <c r="D8">
        <v>1000</v>
      </c>
    </row>
    <row r="9" spans="1:5" x14ac:dyDescent="0.25">
      <c r="A9" t="s">
        <v>1</v>
      </c>
      <c r="B9" t="s">
        <v>11</v>
      </c>
      <c r="C9" t="s">
        <v>12</v>
      </c>
      <c r="D9" t="s">
        <v>13</v>
      </c>
    </row>
    <row r="10" spans="1:5" x14ac:dyDescent="0.25">
      <c r="A10" t="s">
        <v>6</v>
      </c>
      <c r="B10" t="s">
        <v>14</v>
      </c>
      <c r="C10" t="s">
        <v>15</v>
      </c>
      <c r="D10" t="s">
        <v>16</v>
      </c>
    </row>
    <row r="11" spans="1:5" x14ac:dyDescent="0.25">
      <c r="A11" t="s">
        <v>7</v>
      </c>
      <c r="B11">
        <v>5000</v>
      </c>
      <c r="C11">
        <v>0</v>
      </c>
      <c r="D11">
        <v>0</v>
      </c>
    </row>
    <row r="12" spans="1:5" x14ac:dyDescent="0.25">
      <c r="A12" t="s">
        <v>8</v>
      </c>
      <c r="B12" t="s">
        <v>17</v>
      </c>
      <c r="C12" t="s">
        <v>15</v>
      </c>
      <c r="D12" t="s">
        <v>16</v>
      </c>
    </row>
    <row r="13" spans="1:5" x14ac:dyDescent="0.25">
      <c r="A13" t="s">
        <v>9</v>
      </c>
      <c r="B13">
        <f>21000*(2500/3900)</f>
        <v>13461.538461538463</v>
      </c>
      <c r="C13">
        <f>21000*(400/3900)</f>
        <v>2153.8461538461538</v>
      </c>
      <c r="D13">
        <f>21000*(1000/3900)</f>
        <v>5384.6153846153838</v>
      </c>
      <c r="E13">
        <f>SUM(B13:D13)</f>
        <v>21000</v>
      </c>
    </row>
    <row r="14" spans="1:5" x14ac:dyDescent="0.25">
      <c r="A14" t="s">
        <v>10</v>
      </c>
      <c r="B14" t="s">
        <v>19</v>
      </c>
      <c r="C14" t="s">
        <v>20</v>
      </c>
      <c r="D14" t="s">
        <v>21</v>
      </c>
    </row>
    <row r="15" spans="1:5" x14ac:dyDescent="0.25">
      <c r="A15" t="s">
        <v>22</v>
      </c>
      <c r="B15">
        <v>48461.54</v>
      </c>
      <c r="C15">
        <v>2553.85</v>
      </c>
      <c r="D15">
        <v>5684.61</v>
      </c>
    </row>
    <row r="16" spans="1:5" x14ac:dyDescent="0.25">
      <c r="A16" t="s">
        <v>23</v>
      </c>
      <c r="B16">
        <v>30</v>
      </c>
      <c r="C16">
        <v>1</v>
      </c>
      <c r="D16">
        <f>300/1000</f>
        <v>0.3</v>
      </c>
    </row>
    <row r="19" spans="1:4" x14ac:dyDescent="0.25">
      <c r="A19" t="s">
        <v>24</v>
      </c>
      <c r="B19" t="s">
        <v>25</v>
      </c>
      <c r="C19" t="s">
        <v>26</v>
      </c>
      <c r="D19" t="s">
        <v>27</v>
      </c>
    </row>
    <row r="20" spans="1:4" x14ac:dyDescent="0.25">
      <c r="A20" t="s">
        <v>28</v>
      </c>
      <c r="B20">
        <v>200</v>
      </c>
      <c r="C20">
        <v>45</v>
      </c>
      <c r="D20">
        <v>9000</v>
      </c>
    </row>
    <row r="21" spans="1:4" x14ac:dyDescent="0.25">
      <c r="A21" t="s">
        <v>29</v>
      </c>
      <c r="B21">
        <v>1000</v>
      </c>
      <c r="C21">
        <v>48.46</v>
      </c>
      <c r="D21">
        <v>48461.54</v>
      </c>
    </row>
    <row r="22" spans="1:4" x14ac:dyDescent="0.25">
      <c r="A22" t="s">
        <v>30</v>
      </c>
      <c r="B22">
        <v>1200</v>
      </c>
      <c r="C22">
        <f>(9000+48461.54)/(200+1000)</f>
        <v>47.884616666666666</v>
      </c>
      <c r="D22">
        <f>B22*C22</f>
        <v>57461.54</v>
      </c>
    </row>
    <row r="23" spans="1:4" x14ac:dyDescent="0.25">
      <c r="A23" t="s">
        <v>32</v>
      </c>
      <c r="B23">
        <v>800</v>
      </c>
      <c r="C23">
        <f>(9000+48461.54)/(200+1000)</f>
        <v>47.884616666666666</v>
      </c>
      <c r="D23">
        <f>B23*C23</f>
        <v>38307.693333333336</v>
      </c>
    </row>
    <row r="24" spans="1:4" x14ac:dyDescent="0.25">
      <c r="A24" t="s">
        <v>31</v>
      </c>
      <c r="B24">
        <v>400</v>
      </c>
      <c r="C24">
        <f>(9000+48461.54)/(200+1000)</f>
        <v>47.884616666666666</v>
      </c>
      <c r="D24">
        <f>B24*C24</f>
        <v>19153.846666666668</v>
      </c>
    </row>
    <row r="26" spans="1:4" x14ac:dyDescent="0.25">
      <c r="A26" t="s">
        <v>33</v>
      </c>
      <c r="B26" t="s">
        <v>25</v>
      </c>
      <c r="C26" t="s">
        <v>26</v>
      </c>
      <c r="D26" t="s">
        <v>27</v>
      </c>
    </row>
    <row r="27" spans="1:4" x14ac:dyDescent="0.25">
      <c r="A27" t="s">
        <v>28</v>
      </c>
      <c r="B27">
        <v>200</v>
      </c>
      <c r="C27">
        <v>45</v>
      </c>
      <c r="D27">
        <v>9000</v>
      </c>
    </row>
    <row r="28" spans="1:4" x14ac:dyDescent="0.25">
      <c r="A28" t="s">
        <v>29</v>
      </c>
      <c r="B28">
        <v>1000</v>
      </c>
      <c r="C28">
        <v>48.46</v>
      </c>
      <c r="D28">
        <v>48461.54</v>
      </c>
    </row>
    <row r="29" spans="1:4" x14ac:dyDescent="0.25">
      <c r="A29" t="s">
        <v>30</v>
      </c>
      <c r="B29">
        <v>1200</v>
      </c>
      <c r="C29" t="s">
        <v>34</v>
      </c>
      <c r="D29">
        <f>1000*48.46+200*45</f>
        <v>57460</v>
      </c>
    </row>
    <row r="30" spans="1:4" x14ac:dyDescent="0.25">
      <c r="A30" t="s">
        <v>32</v>
      </c>
      <c r="B30">
        <v>800</v>
      </c>
      <c r="C30">
        <v>48.46</v>
      </c>
      <c r="D30">
        <f>B30*C30</f>
        <v>38768</v>
      </c>
    </row>
    <row r="32" spans="1:4" x14ac:dyDescent="0.25">
      <c r="A32" t="s">
        <v>35</v>
      </c>
      <c r="B32">
        <v>200</v>
      </c>
      <c r="C32">
        <v>45</v>
      </c>
      <c r="D32">
        <f>B32*C32</f>
        <v>9000</v>
      </c>
    </row>
    <row r="33" spans="1:4" x14ac:dyDescent="0.25">
      <c r="A33" t="s">
        <v>36</v>
      </c>
      <c r="B33">
        <v>200</v>
      </c>
      <c r="C33">
        <v>48.46</v>
      </c>
      <c r="D33">
        <f>B33*C33</f>
        <v>9692</v>
      </c>
    </row>
    <row r="34" spans="1:4" x14ac:dyDescent="0.25">
      <c r="A34" t="s">
        <v>31</v>
      </c>
      <c r="B34">
        <v>400</v>
      </c>
      <c r="C34">
        <f>D34/B34</f>
        <v>46.73</v>
      </c>
      <c r="D34">
        <f>D32+D33</f>
        <v>18692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opLeftCell="A13" workbookViewId="0">
      <selection activeCell="B79" sqref="B79"/>
    </sheetView>
  </sheetViews>
  <sheetFormatPr defaultRowHeight="15" x14ac:dyDescent="0.25"/>
  <cols>
    <col min="1" max="1" width="31.42578125" customWidth="1"/>
    <col min="4" max="4" width="9.140625" customWidth="1"/>
    <col min="5" max="5" width="10.42578125" customWidth="1"/>
    <col min="6" max="6" width="12" customWidth="1"/>
    <col min="7" max="7" width="12.42578125" customWidth="1"/>
  </cols>
  <sheetData>
    <row r="1" spans="1:9" x14ac:dyDescent="0.25">
      <c r="A1" s="5" t="s">
        <v>37</v>
      </c>
      <c r="B1" s="5" t="s">
        <v>38</v>
      </c>
      <c r="C1" s="5"/>
      <c r="D1" s="5" t="s">
        <v>39</v>
      </c>
      <c r="E1" s="5"/>
      <c r="F1" s="5"/>
      <c r="G1" s="5"/>
    </row>
    <row r="2" spans="1:9" x14ac:dyDescent="0.25">
      <c r="A2" s="5"/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I2" t="s">
        <v>57</v>
      </c>
    </row>
    <row r="3" spans="1:9" x14ac:dyDescent="0.25">
      <c r="A3" t="s">
        <v>46</v>
      </c>
      <c r="B3">
        <v>44000</v>
      </c>
      <c r="C3">
        <v>115000</v>
      </c>
      <c r="D3">
        <v>103000</v>
      </c>
      <c r="E3">
        <v>227000</v>
      </c>
      <c r="F3">
        <v>225200</v>
      </c>
      <c r="G3">
        <v>130000</v>
      </c>
      <c r="I3">
        <f>SUM(B3:G3)</f>
        <v>844200</v>
      </c>
    </row>
    <row r="4" spans="1:9" x14ac:dyDescent="0.25">
      <c r="A4" t="s">
        <v>48</v>
      </c>
      <c r="C4">
        <f>0.1*$B$6</f>
        <v>5000</v>
      </c>
      <c r="D4">
        <f>0.1*$B$6</f>
        <v>5000</v>
      </c>
      <c r="E4">
        <f>0.5*$B$6</f>
        <v>25000</v>
      </c>
      <c r="F4">
        <f>0.2*$B$6</f>
        <v>10000</v>
      </c>
      <c r="G4">
        <f>0.1*$B$6</f>
        <v>5000</v>
      </c>
      <c r="I4">
        <f t="shared" ref="I4:I6" si="0">SUM(B4:G4)</f>
        <v>50000</v>
      </c>
    </row>
    <row r="5" spans="1:9" x14ac:dyDescent="0.25">
      <c r="A5" t="s">
        <v>49</v>
      </c>
      <c r="B5">
        <f>0.05*$C$6</f>
        <v>6000</v>
      </c>
      <c r="D5">
        <f>0.15*$C$6</f>
        <v>18000</v>
      </c>
      <c r="E5">
        <f>0.3*$C$6</f>
        <v>36000</v>
      </c>
      <c r="F5">
        <f>0.5*$C$6</f>
        <v>60000</v>
      </c>
      <c r="I5">
        <f t="shared" si="0"/>
        <v>120000</v>
      </c>
    </row>
    <row r="6" spans="1:9" x14ac:dyDescent="0.25">
      <c r="A6" t="s">
        <v>47</v>
      </c>
      <c r="B6">
        <v>50000</v>
      </c>
      <c r="C6">
        <v>120000</v>
      </c>
      <c r="D6">
        <f>SUM(D3:D5)</f>
        <v>126000</v>
      </c>
      <c r="E6">
        <f t="shared" ref="E6:G6" si="1">SUM(E3:E5)</f>
        <v>288000</v>
      </c>
      <c r="F6">
        <f t="shared" si="1"/>
        <v>295200</v>
      </c>
      <c r="G6">
        <f t="shared" si="1"/>
        <v>135000</v>
      </c>
      <c r="I6">
        <f t="shared" si="0"/>
        <v>1014200</v>
      </c>
    </row>
    <row r="7" spans="1:9" x14ac:dyDescent="0.25">
      <c r="A7" t="s">
        <v>50</v>
      </c>
      <c r="D7" t="s">
        <v>53</v>
      </c>
      <c r="E7" t="s">
        <v>54</v>
      </c>
      <c r="F7" t="s">
        <v>55</v>
      </c>
      <c r="G7" t="s">
        <v>56</v>
      </c>
    </row>
    <row r="8" spans="1:9" x14ac:dyDescent="0.25">
      <c r="A8" t="s">
        <v>51</v>
      </c>
      <c r="D8">
        <v>42000</v>
      </c>
      <c r="E8">
        <v>45000</v>
      </c>
      <c r="F8">
        <f>19200+2000+7200+400</f>
        <v>28800</v>
      </c>
      <c r="G8">
        <f>(14000*160+2000*230)/100</f>
        <v>27000</v>
      </c>
    </row>
    <row r="9" spans="1:9" x14ac:dyDescent="0.25">
      <c r="A9" t="s">
        <v>52</v>
      </c>
      <c r="D9">
        <f t="shared" ref="D9:G9" si="2">D6/D8</f>
        <v>3</v>
      </c>
      <c r="E9">
        <f t="shared" si="2"/>
        <v>6.4</v>
      </c>
      <c r="F9">
        <f t="shared" si="2"/>
        <v>10.25</v>
      </c>
      <c r="G9">
        <f t="shared" si="2"/>
        <v>5</v>
      </c>
    </row>
    <row r="11" spans="1:9" x14ac:dyDescent="0.25">
      <c r="A11" t="s">
        <v>59</v>
      </c>
    </row>
    <row r="12" spans="1:9" x14ac:dyDescent="0.25">
      <c r="A12" t="s">
        <v>58</v>
      </c>
      <c r="B12">
        <v>50000</v>
      </c>
    </row>
    <row r="13" spans="1:9" x14ac:dyDescent="0.25">
      <c r="A13" t="s">
        <v>93</v>
      </c>
      <c r="B13">
        <v>120000</v>
      </c>
    </row>
    <row r="15" spans="1:9" x14ac:dyDescent="0.25">
      <c r="A15" t="s">
        <v>60</v>
      </c>
    </row>
    <row r="16" spans="1:9" x14ac:dyDescent="0.25">
      <c r="A16" t="s">
        <v>61</v>
      </c>
    </row>
    <row r="17" spans="1:8" x14ac:dyDescent="0.25">
      <c r="A17" t="s">
        <v>63</v>
      </c>
    </row>
    <row r="18" spans="1:8" x14ac:dyDescent="0.25">
      <c r="A18" t="s">
        <v>62</v>
      </c>
    </row>
    <row r="19" spans="1:8" x14ac:dyDescent="0.25">
      <c r="A19" t="s">
        <v>64</v>
      </c>
    </row>
    <row r="20" spans="1:8" x14ac:dyDescent="0.25">
      <c r="A20" t="s">
        <v>65</v>
      </c>
    </row>
    <row r="21" spans="1:8" x14ac:dyDescent="0.25">
      <c r="A21" t="s">
        <v>66</v>
      </c>
    </row>
    <row r="22" spans="1:8" x14ac:dyDescent="0.25">
      <c r="A22" t="s">
        <v>67</v>
      </c>
    </row>
    <row r="24" spans="1:8" x14ac:dyDescent="0.25">
      <c r="A24" t="s">
        <v>60</v>
      </c>
      <c r="B24" s="5" t="s">
        <v>69</v>
      </c>
      <c r="C24" s="5"/>
      <c r="D24" s="5"/>
      <c r="E24" s="5" t="s">
        <v>70</v>
      </c>
      <c r="F24" s="5"/>
      <c r="G24" s="5"/>
    </row>
    <row r="25" spans="1:8" x14ac:dyDescent="0.25">
      <c r="B25" t="s">
        <v>25</v>
      </c>
      <c r="C25" t="s">
        <v>26</v>
      </c>
      <c r="D25" t="s">
        <v>68</v>
      </c>
      <c r="E25" t="s">
        <v>25</v>
      </c>
      <c r="F25" t="s">
        <v>26</v>
      </c>
      <c r="G25" t="s">
        <v>68</v>
      </c>
    </row>
    <row r="26" spans="1:8" x14ac:dyDescent="0.25">
      <c r="A26" t="s">
        <v>71</v>
      </c>
      <c r="B26">
        <v>24000</v>
      </c>
      <c r="C26">
        <v>21</v>
      </c>
      <c r="D26">
        <f>B26*C26</f>
        <v>504000</v>
      </c>
      <c r="E26">
        <v>18000</v>
      </c>
      <c r="F26">
        <v>22</v>
      </c>
      <c r="G26">
        <f>E26*F26</f>
        <v>396000</v>
      </c>
    </row>
    <row r="27" spans="1:8" x14ac:dyDescent="0.25">
      <c r="A27" t="s">
        <v>72</v>
      </c>
      <c r="B27">
        <v>24000</v>
      </c>
      <c r="C27">
        <v>3</v>
      </c>
      <c r="D27">
        <f>B27*C27</f>
        <v>72000</v>
      </c>
      <c r="E27">
        <v>18000</v>
      </c>
      <c r="F27">
        <v>3</v>
      </c>
      <c r="G27">
        <f>E27*F27</f>
        <v>54000</v>
      </c>
    </row>
    <row r="28" spans="1:8" x14ac:dyDescent="0.25">
      <c r="A28" t="s">
        <v>73</v>
      </c>
      <c r="B28">
        <v>24000</v>
      </c>
      <c r="C28">
        <f>C26+C27</f>
        <v>24</v>
      </c>
      <c r="D28">
        <f>D26+D27</f>
        <v>576000</v>
      </c>
      <c r="E28">
        <v>18000</v>
      </c>
      <c r="F28">
        <f>F26+F27</f>
        <v>25</v>
      </c>
      <c r="G28">
        <f>G26+G27</f>
        <v>450000</v>
      </c>
    </row>
    <row r="31" spans="1:8" x14ac:dyDescent="0.25">
      <c r="A31" t="s">
        <v>74</v>
      </c>
      <c r="B31" t="s">
        <v>25</v>
      </c>
      <c r="C31" t="s">
        <v>26</v>
      </c>
      <c r="D31" t="s">
        <v>68</v>
      </c>
      <c r="F31" t="s">
        <v>25</v>
      </c>
      <c r="G31" t="s">
        <v>26</v>
      </c>
      <c r="H31" t="s">
        <v>68</v>
      </c>
    </row>
    <row r="32" spans="1:8" x14ac:dyDescent="0.25">
      <c r="A32" t="s">
        <v>28</v>
      </c>
      <c r="B32">
        <v>12000</v>
      </c>
      <c r="C32">
        <v>21</v>
      </c>
      <c r="D32">
        <f>B32*C32</f>
        <v>252000</v>
      </c>
      <c r="E32" t="s">
        <v>77</v>
      </c>
      <c r="F32">
        <v>18600</v>
      </c>
      <c r="G32">
        <f>C34</f>
        <v>23</v>
      </c>
      <c r="H32">
        <f>F32*G32</f>
        <v>427800</v>
      </c>
    </row>
    <row r="33" spans="1:9" x14ac:dyDescent="0.25">
      <c r="A33" t="s">
        <v>75</v>
      </c>
      <c r="B33">
        <v>24000</v>
      </c>
      <c r="C33">
        <f>C28</f>
        <v>24</v>
      </c>
      <c r="D33">
        <f>B33*C33</f>
        <v>576000</v>
      </c>
      <c r="E33" t="s">
        <v>31</v>
      </c>
      <c r="F33">
        <f>B34-F32</f>
        <v>17400</v>
      </c>
      <c r="G33">
        <f>G32</f>
        <v>23</v>
      </c>
      <c r="H33">
        <f>F33*G33</f>
        <v>400200</v>
      </c>
    </row>
    <row r="34" spans="1:9" x14ac:dyDescent="0.25">
      <c r="A34" t="s">
        <v>76</v>
      </c>
      <c r="B34">
        <f>SUM(B32:B33)</f>
        <v>36000</v>
      </c>
      <c r="C34">
        <f>D34/B34</f>
        <v>23</v>
      </c>
      <c r="D34">
        <f t="shared" ref="D34" si="3">SUM(D32:D33)</f>
        <v>828000</v>
      </c>
      <c r="E34" t="s">
        <v>76</v>
      </c>
      <c r="F34">
        <f>SUM(F32:F33)</f>
        <v>36000</v>
      </c>
      <c r="G34">
        <f>G33</f>
        <v>23</v>
      </c>
      <c r="H34">
        <f t="shared" ref="H34" si="4">SUM(H32:H33)</f>
        <v>828000</v>
      </c>
      <c r="I34" t="s">
        <v>92</v>
      </c>
    </row>
    <row r="36" spans="1:9" x14ac:dyDescent="0.25">
      <c r="A36" t="s">
        <v>78</v>
      </c>
      <c r="B36" t="s">
        <v>25</v>
      </c>
      <c r="C36" t="s">
        <v>26</v>
      </c>
      <c r="D36" t="s">
        <v>68</v>
      </c>
      <c r="F36" t="s">
        <v>25</v>
      </c>
      <c r="G36" t="s">
        <v>26</v>
      </c>
      <c r="H36" t="s">
        <v>68</v>
      </c>
    </row>
    <row r="37" spans="1:9" x14ac:dyDescent="0.25">
      <c r="A37" t="s">
        <v>28</v>
      </c>
      <c r="B37">
        <v>36000</v>
      </c>
      <c r="C37">
        <v>26.5</v>
      </c>
      <c r="D37">
        <f>B37*C37</f>
        <v>954000</v>
      </c>
      <c r="E37" t="s">
        <v>77</v>
      </c>
      <c r="F37">
        <v>26400</v>
      </c>
      <c r="G37">
        <f>C39</f>
        <v>26</v>
      </c>
      <c r="H37">
        <f>F37*G37</f>
        <v>686400</v>
      </c>
    </row>
    <row r="38" spans="1:9" x14ac:dyDescent="0.25">
      <c r="A38" t="s">
        <v>75</v>
      </c>
      <c r="B38">
        <v>18000</v>
      </c>
      <c r="C38">
        <f>F28</f>
        <v>25</v>
      </c>
      <c r="D38">
        <f>B38*C38</f>
        <v>450000</v>
      </c>
      <c r="E38" t="s">
        <v>31</v>
      </c>
      <c r="F38">
        <f>27500</f>
        <v>27500</v>
      </c>
      <c r="G38">
        <f>G37</f>
        <v>26</v>
      </c>
      <c r="H38">
        <f>F38*G38</f>
        <v>715000</v>
      </c>
    </row>
    <row r="39" spans="1:9" x14ac:dyDescent="0.25">
      <c r="A39" t="s">
        <v>76</v>
      </c>
      <c r="B39">
        <f>SUM(B37:B38)</f>
        <v>54000</v>
      </c>
      <c r="C39">
        <f>D39/B39</f>
        <v>26</v>
      </c>
      <c r="D39">
        <f t="shared" ref="D39" si="5">SUM(D37:D38)</f>
        <v>1404000</v>
      </c>
      <c r="E39" t="s">
        <v>79</v>
      </c>
      <c r="F39">
        <f>27600-F38</f>
        <v>100</v>
      </c>
      <c r="G39">
        <v>26</v>
      </c>
      <c r="H39">
        <f>F39*G39</f>
        <v>2600</v>
      </c>
    </row>
    <row r="40" spans="1:9" x14ac:dyDescent="0.25">
      <c r="E40" t="s">
        <v>76</v>
      </c>
      <c r="F40">
        <f>SUM(F37:F38)</f>
        <v>53900</v>
      </c>
      <c r="G40">
        <f>G38</f>
        <v>26</v>
      </c>
      <c r="H40">
        <f>SUM(H37:H38)</f>
        <v>1401400</v>
      </c>
      <c r="I40" t="s">
        <v>92</v>
      </c>
    </row>
    <row r="42" spans="1:9" x14ac:dyDescent="0.25">
      <c r="A42" t="s">
        <v>63</v>
      </c>
      <c r="B42" t="s">
        <v>25</v>
      </c>
      <c r="C42" t="s">
        <v>26</v>
      </c>
      <c r="D42" t="s">
        <v>68</v>
      </c>
    </row>
    <row r="43" spans="1:9" x14ac:dyDescent="0.25">
      <c r="A43" t="s">
        <v>80</v>
      </c>
      <c r="B43">
        <v>18600</v>
      </c>
      <c r="C43">
        <v>23</v>
      </c>
      <c r="D43">
        <f>B43*C43</f>
        <v>427800</v>
      </c>
    </row>
    <row r="44" spans="1:9" x14ac:dyDescent="0.25">
      <c r="A44" t="s">
        <v>81</v>
      </c>
      <c r="B44">
        <v>26400</v>
      </c>
      <c r="C44">
        <v>26</v>
      </c>
      <c r="D44">
        <f t="shared" ref="D44:D46" si="6">B44*C44</f>
        <v>686400</v>
      </c>
    </row>
    <row r="45" spans="1:9" x14ac:dyDescent="0.25">
      <c r="A45" t="s">
        <v>82</v>
      </c>
      <c r="B45">
        <v>32320</v>
      </c>
      <c r="C45">
        <v>15</v>
      </c>
      <c r="D45">
        <f t="shared" si="6"/>
        <v>484800</v>
      </c>
    </row>
    <row r="46" spans="1:9" x14ac:dyDescent="0.25">
      <c r="A46" t="s">
        <v>43</v>
      </c>
      <c r="B46">
        <v>45000</v>
      </c>
      <c r="C46">
        <v>6.4</v>
      </c>
      <c r="D46">
        <f t="shared" si="6"/>
        <v>288000</v>
      </c>
    </row>
    <row r="47" spans="1:9" x14ac:dyDescent="0.25">
      <c r="A47" t="s">
        <v>63</v>
      </c>
      <c r="B47">
        <v>37000</v>
      </c>
      <c r="C47">
        <f>D47/B47</f>
        <v>51</v>
      </c>
      <c r="D47">
        <f>SUM(D43:D46)</f>
        <v>1887000</v>
      </c>
    </row>
    <row r="49" spans="1:9" x14ac:dyDescent="0.25">
      <c r="A49" t="s">
        <v>83</v>
      </c>
      <c r="B49" t="s">
        <v>25</v>
      </c>
      <c r="C49" t="s">
        <v>26</v>
      </c>
      <c r="D49" t="s">
        <v>68</v>
      </c>
      <c r="F49" t="s">
        <v>25</v>
      </c>
      <c r="G49" t="s">
        <v>26</v>
      </c>
      <c r="H49" t="s">
        <v>68</v>
      </c>
    </row>
    <row r="50" spans="1:9" x14ac:dyDescent="0.25">
      <c r="A50" t="s">
        <v>28</v>
      </c>
      <c r="B50">
        <v>1000</v>
      </c>
      <c r="C50">
        <v>51</v>
      </c>
      <c r="D50">
        <f>B50*C50</f>
        <v>51000</v>
      </c>
      <c r="E50" t="s">
        <v>77</v>
      </c>
      <c r="F50">
        <f>22000+4300+9500+500</f>
        <v>36300</v>
      </c>
      <c r="G50">
        <f>C52</f>
        <v>51</v>
      </c>
      <c r="H50">
        <f>F50*G50</f>
        <v>1851300</v>
      </c>
    </row>
    <row r="51" spans="1:9" x14ac:dyDescent="0.25">
      <c r="A51" t="s">
        <v>75</v>
      </c>
      <c r="B51">
        <v>37000</v>
      </c>
      <c r="C51">
        <v>51</v>
      </c>
      <c r="D51">
        <f>B51*C51</f>
        <v>1887000</v>
      </c>
      <c r="E51" t="s">
        <v>31</v>
      </c>
      <c r="F51">
        <v>1710</v>
      </c>
      <c r="G51">
        <f>G50</f>
        <v>51</v>
      </c>
      <c r="H51">
        <f>F51*G51</f>
        <v>87210</v>
      </c>
    </row>
    <row r="52" spans="1:9" x14ac:dyDescent="0.25">
      <c r="A52" t="s">
        <v>76</v>
      </c>
      <c r="B52">
        <f>SUM(B50:B51)</f>
        <v>38000</v>
      </c>
      <c r="C52">
        <f>D52/B52</f>
        <v>51</v>
      </c>
      <c r="D52">
        <f t="shared" ref="D52" si="7">SUM(D50:D51)</f>
        <v>1938000</v>
      </c>
      <c r="E52" t="s">
        <v>79</v>
      </c>
      <c r="F52">
        <f>B52-F51-F50</f>
        <v>-10</v>
      </c>
      <c r="G52">
        <f>G51</f>
        <v>51</v>
      </c>
      <c r="H52">
        <f>F52*G52</f>
        <v>-510</v>
      </c>
    </row>
    <row r="53" spans="1:9" x14ac:dyDescent="0.25">
      <c r="E53" t="s">
        <v>76</v>
      </c>
      <c r="F53">
        <f>SUM(F50:F52)</f>
        <v>38000</v>
      </c>
      <c r="G53">
        <f>G51</f>
        <v>51</v>
      </c>
      <c r="H53">
        <f>SUM(H50:H52)</f>
        <v>1938000</v>
      </c>
      <c r="I53" t="s">
        <v>92</v>
      </c>
    </row>
    <row r="55" spans="1:9" x14ac:dyDescent="0.25">
      <c r="B55" s="5" t="s">
        <v>86</v>
      </c>
      <c r="C55" s="5"/>
      <c r="D55" s="5"/>
      <c r="E55" s="5" t="s">
        <v>87</v>
      </c>
      <c r="F55" s="5"/>
      <c r="G55" s="5"/>
    </row>
    <row r="56" spans="1:9" x14ac:dyDescent="0.25">
      <c r="A56" t="s">
        <v>84</v>
      </c>
      <c r="B56" t="s">
        <v>25</v>
      </c>
      <c r="C56" t="s">
        <v>26</v>
      </c>
      <c r="D56" t="s">
        <v>68</v>
      </c>
      <c r="E56" t="s">
        <v>25</v>
      </c>
      <c r="F56" t="s">
        <v>26</v>
      </c>
      <c r="G56" t="s">
        <v>68</v>
      </c>
    </row>
    <row r="57" spans="1:9" x14ac:dyDescent="0.25">
      <c r="A57" t="s">
        <v>89</v>
      </c>
      <c r="D57">
        <v>102200</v>
      </c>
    </row>
    <row r="58" spans="1:9" x14ac:dyDescent="0.25">
      <c r="A58" t="s">
        <v>85</v>
      </c>
      <c r="B58">
        <v>22000</v>
      </c>
      <c r="C58">
        <v>51</v>
      </c>
      <c r="D58">
        <f>B58*C58</f>
        <v>1122000</v>
      </c>
      <c r="E58">
        <v>4300</v>
      </c>
      <c r="F58">
        <v>51</v>
      </c>
      <c r="G58">
        <f>E58*F58</f>
        <v>219300</v>
      </c>
    </row>
    <row r="59" spans="1:9" x14ac:dyDescent="0.25">
      <c r="A59" t="s">
        <v>82</v>
      </c>
      <c r="B59">
        <v>19200</v>
      </c>
      <c r="C59">
        <v>16</v>
      </c>
      <c r="D59">
        <f>B59*C59</f>
        <v>307200</v>
      </c>
      <c r="E59">
        <v>2000</v>
      </c>
      <c r="F59">
        <v>16</v>
      </c>
      <c r="G59">
        <f>E59*F59</f>
        <v>32000</v>
      </c>
    </row>
    <row r="60" spans="1:9" x14ac:dyDescent="0.25">
      <c r="A60" t="s">
        <v>88</v>
      </c>
      <c r="B60">
        <v>19200</v>
      </c>
      <c r="C60">
        <v>10.25</v>
      </c>
      <c r="D60">
        <f>B60*C60</f>
        <v>196800</v>
      </c>
      <c r="E60">
        <v>2000</v>
      </c>
      <c r="F60">
        <v>10.25</v>
      </c>
      <c r="G60">
        <f>E60*F60</f>
        <v>20500</v>
      </c>
    </row>
    <row r="61" spans="1:9" x14ac:dyDescent="0.25">
      <c r="A61" t="s">
        <v>90</v>
      </c>
      <c r="B61">
        <v>13700</v>
      </c>
      <c r="C61">
        <f>D61/B61</f>
        <v>126.14598540145985</v>
      </c>
      <c r="D61">
        <f>SUM(D57:D60)</f>
        <v>1728200</v>
      </c>
      <c r="G61">
        <f>SUM(G58:G60)</f>
        <v>271800</v>
      </c>
    </row>
    <row r="63" spans="1:9" x14ac:dyDescent="0.25">
      <c r="B63" s="5" t="s">
        <v>86</v>
      </c>
      <c r="C63" s="5"/>
      <c r="D63" s="5"/>
      <c r="E63" s="5" t="s">
        <v>87</v>
      </c>
      <c r="F63" s="5"/>
      <c r="G63" s="5"/>
    </row>
    <row r="64" spans="1:9" x14ac:dyDescent="0.25">
      <c r="A64" t="s">
        <v>91</v>
      </c>
      <c r="B64" t="s">
        <v>25</v>
      </c>
      <c r="C64" t="s">
        <v>26</v>
      </c>
      <c r="D64" t="s">
        <v>68</v>
      </c>
      <c r="E64" t="s">
        <v>25</v>
      </c>
      <c r="F64" t="s">
        <v>26</v>
      </c>
      <c r="G64" t="s">
        <v>68</v>
      </c>
    </row>
    <row r="65" spans="1:9" x14ac:dyDescent="0.25">
      <c r="A65" t="s">
        <v>89</v>
      </c>
      <c r="D65">
        <v>73800</v>
      </c>
    </row>
    <row r="66" spans="1:9" x14ac:dyDescent="0.25">
      <c r="A66" t="s">
        <v>85</v>
      </c>
      <c r="B66">
        <v>9500</v>
      </c>
      <c r="C66">
        <v>51</v>
      </c>
      <c r="D66">
        <f>B66*C66</f>
        <v>484500</v>
      </c>
      <c r="E66">
        <v>500</v>
      </c>
      <c r="F66">
        <v>51</v>
      </c>
      <c r="G66">
        <f>E66*F66</f>
        <v>25500</v>
      </c>
    </row>
    <row r="67" spans="1:9" x14ac:dyDescent="0.25">
      <c r="A67" t="s">
        <v>82</v>
      </c>
      <c r="B67">
        <v>7200</v>
      </c>
      <c r="C67">
        <v>16</v>
      </c>
      <c r="D67">
        <f>B67*C67</f>
        <v>115200</v>
      </c>
      <c r="E67">
        <v>400</v>
      </c>
      <c r="F67">
        <v>16</v>
      </c>
      <c r="G67">
        <f>E67*F67</f>
        <v>6400</v>
      </c>
    </row>
    <row r="68" spans="1:9" x14ac:dyDescent="0.25">
      <c r="A68" t="s">
        <v>88</v>
      </c>
      <c r="B68">
        <f>B67</f>
        <v>7200</v>
      </c>
      <c r="C68">
        <v>10.25</v>
      </c>
      <c r="D68">
        <f>B68*C68</f>
        <v>73800</v>
      </c>
      <c r="E68">
        <f>E67</f>
        <v>400</v>
      </c>
      <c r="F68">
        <v>10.25</v>
      </c>
      <c r="G68">
        <f>E68*F68</f>
        <v>4100</v>
      </c>
    </row>
    <row r="69" spans="1:9" x14ac:dyDescent="0.25">
      <c r="A69" t="s">
        <v>90</v>
      </c>
      <c r="B69">
        <v>3000</v>
      </c>
      <c r="C69">
        <f>D69/B69</f>
        <v>249.1</v>
      </c>
      <c r="D69">
        <f>SUM(D65:D68)</f>
        <v>747300</v>
      </c>
      <c r="G69">
        <f>SUM(G66:G68)</f>
        <v>36000</v>
      </c>
    </row>
    <row r="71" spans="1:9" x14ac:dyDescent="0.25">
      <c r="A71" t="s">
        <v>11</v>
      </c>
      <c r="B71" t="s">
        <v>25</v>
      </c>
      <c r="C71" t="s">
        <v>26</v>
      </c>
      <c r="D71" t="s">
        <v>68</v>
      </c>
      <c r="F71" t="s">
        <v>25</v>
      </c>
      <c r="G71" t="s">
        <v>26</v>
      </c>
      <c r="H71" t="s">
        <v>68</v>
      </c>
    </row>
    <row r="72" spans="1:9" x14ac:dyDescent="0.25">
      <c r="A72" t="s">
        <v>28</v>
      </c>
      <c r="B72">
        <v>2860</v>
      </c>
      <c r="C72">
        <f>D72/B72</f>
        <v>125.5944055944056</v>
      </c>
      <c r="D72">
        <v>359200</v>
      </c>
      <c r="E72" t="s">
        <v>77</v>
      </c>
      <c r="F72">
        <v>14000</v>
      </c>
      <c r="G72">
        <f>C74</f>
        <v>126.05072463768116</v>
      </c>
      <c r="H72">
        <f>F72*G72</f>
        <v>1764710.1449275361</v>
      </c>
    </row>
    <row r="73" spans="1:9" x14ac:dyDescent="0.25">
      <c r="A73" t="s">
        <v>75</v>
      </c>
      <c r="B73">
        <v>13700</v>
      </c>
      <c r="C73">
        <f>C61</f>
        <v>126.14598540145985</v>
      </c>
      <c r="D73">
        <f>B73*C73</f>
        <v>1728200</v>
      </c>
      <c r="E73" t="s">
        <v>31</v>
      </c>
      <c r="F73">
        <f>B74-F72</f>
        <v>2560</v>
      </c>
      <c r="G73">
        <f>G72</f>
        <v>126.05072463768116</v>
      </c>
      <c r="H73">
        <f>F73*G73</f>
        <v>322689.85507246375</v>
      </c>
    </row>
    <row r="74" spans="1:9" x14ac:dyDescent="0.25">
      <c r="A74" t="s">
        <v>76</v>
      </c>
      <c r="B74">
        <f>SUM(B72:B73)</f>
        <v>16560</v>
      </c>
      <c r="C74">
        <f>D74/B74</f>
        <v>126.05072463768116</v>
      </c>
      <c r="D74">
        <f t="shared" ref="D74" si="8">SUM(D72:D73)</f>
        <v>2087400</v>
      </c>
      <c r="E74" t="s">
        <v>76</v>
      </c>
      <c r="F74">
        <f>SUM(F72:F73)</f>
        <v>16560</v>
      </c>
      <c r="G74">
        <f>G73</f>
        <v>126.05072463768116</v>
      </c>
      <c r="H74">
        <f t="shared" ref="H74" si="9">SUM(H72:H73)</f>
        <v>2087400</v>
      </c>
      <c r="I74" t="s">
        <v>92</v>
      </c>
    </row>
    <row r="76" spans="1:9" x14ac:dyDescent="0.25">
      <c r="A76" t="s">
        <v>12</v>
      </c>
      <c r="B76" t="s">
        <v>25</v>
      </c>
      <c r="C76" t="s">
        <v>26</v>
      </c>
      <c r="D76" t="s">
        <v>68</v>
      </c>
      <c r="F76" t="s">
        <v>25</v>
      </c>
      <c r="G76" t="s">
        <v>26</v>
      </c>
      <c r="H76" t="s">
        <v>68</v>
      </c>
    </row>
    <row r="77" spans="1:9" x14ac:dyDescent="0.25">
      <c r="A77" t="s">
        <v>28</v>
      </c>
      <c r="B77">
        <v>200</v>
      </c>
      <c r="C77">
        <f>D77/B77</f>
        <v>248.5</v>
      </c>
      <c r="D77">
        <v>49700</v>
      </c>
      <c r="E77" t="s">
        <v>77</v>
      </c>
      <c r="F77">
        <v>2000</v>
      </c>
      <c r="G77">
        <f>C79</f>
        <v>249.0625</v>
      </c>
      <c r="H77">
        <f>F77*G77</f>
        <v>498125</v>
      </c>
    </row>
    <row r="78" spans="1:9" x14ac:dyDescent="0.25">
      <c r="A78" t="s">
        <v>75</v>
      </c>
      <c r="B78">
        <v>3000</v>
      </c>
      <c r="C78">
        <f>C69</f>
        <v>249.1</v>
      </c>
      <c r="D78">
        <f>B78*C78</f>
        <v>747300</v>
      </c>
      <c r="E78" t="s">
        <v>31</v>
      </c>
      <c r="F78">
        <f>B79-F77</f>
        <v>1200</v>
      </c>
      <c r="G78">
        <f>G77</f>
        <v>249.0625</v>
      </c>
      <c r="H78">
        <f>F78*G78</f>
        <v>298875</v>
      </c>
    </row>
    <row r="79" spans="1:9" x14ac:dyDescent="0.25">
      <c r="A79" t="s">
        <v>76</v>
      </c>
      <c r="B79">
        <f>SUM(B77:B78)</f>
        <v>3200</v>
      </c>
      <c r="C79">
        <f>D79/B79</f>
        <v>249.0625</v>
      </c>
      <c r="D79">
        <f t="shared" ref="D79" si="10">SUM(D77:D78)</f>
        <v>797000</v>
      </c>
      <c r="E79" t="s">
        <v>76</v>
      </c>
      <c r="F79">
        <f>SUM(F77:F78)</f>
        <v>3200</v>
      </c>
      <c r="G79">
        <f>G78</f>
        <v>249.0625</v>
      </c>
      <c r="H79">
        <f t="shared" ref="H79" si="11">SUM(H77:H78)</f>
        <v>797000</v>
      </c>
      <c r="I79" t="s">
        <v>92</v>
      </c>
    </row>
    <row r="81" spans="1:7" x14ac:dyDescent="0.25">
      <c r="A81" t="s">
        <v>94</v>
      </c>
      <c r="B81" s="5" t="s">
        <v>95</v>
      </c>
      <c r="C81" s="5"/>
      <c r="D81" s="5"/>
      <c r="E81" s="5" t="s">
        <v>96</v>
      </c>
      <c r="F81" s="5"/>
      <c r="G81" s="5"/>
    </row>
    <row r="82" spans="1:7" x14ac:dyDescent="0.25">
      <c r="B82" t="s">
        <v>25</v>
      </c>
      <c r="C82" t="s">
        <v>26</v>
      </c>
      <c r="D82" t="s">
        <v>68</v>
      </c>
      <c r="E82" t="s">
        <v>25</v>
      </c>
      <c r="F82" t="s">
        <v>26</v>
      </c>
      <c r="G82" t="s">
        <v>68</v>
      </c>
    </row>
    <row r="83" spans="1:7" x14ac:dyDescent="0.25">
      <c r="A83" t="s">
        <v>97</v>
      </c>
      <c r="B83">
        <v>14000</v>
      </c>
      <c r="C83">
        <f>C74</f>
        <v>126.05072463768116</v>
      </c>
      <c r="D83">
        <f>B83*C83</f>
        <v>1764710.1449275361</v>
      </c>
      <c r="E83">
        <v>2000</v>
      </c>
      <c r="F83">
        <f>G79</f>
        <v>249.0625</v>
      </c>
      <c r="G83">
        <f>E83*F83</f>
        <v>498125</v>
      </c>
    </row>
    <row r="84" spans="1:7" x14ac:dyDescent="0.25">
      <c r="A84" t="s">
        <v>98</v>
      </c>
      <c r="B84">
        <f>14000*160/100</f>
        <v>22400</v>
      </c>
      <c r="C84">
        <v>5</v>
      </c>
      <c r="D84">
        <f t="shared" ref="D84:D86" si="12">B84*C84</f>
        <v>112000</v>
      </c>
      <c r="E84">
        <v>4600</v>
      </c>
      <c r="F84">
        <v>5</v>
      </c>
      <c r="G84">
        <f t="shared" ref="G84" si="13">E84*F84</f>
        <v>23000</v>
      </c>
    </row>
    <row r="85" spans="1:7" x14ac:dyDescent="0.25">
      <c r="A85" t="s">
        <v>99</v>
      </c>
      <c r="B85">
        <f>B83</f>
        <v>14000</v>
      </c>
      <c r="C85">
        <f>D85/B85</f>
        <v>134.05072463768116</v>
      </c>
      <c r="D85">
        <f>SUM(D83:D84)</f>
        <v>1876710.1449275361</v>
      </c>
      <c r="E85">
        <f>E83</f>
        <v>2000</v>
      </c>
      <c r="F85">
        <f>G85/E85</f>
        <v>260.5625</v>
      </c>
      <c r="G85">
        <f>SUM(G83:G84)</f>
        <v>521125</v>
      </c>
    </row>
    <row r="86" spans="1:7" x14ac:dyDescent="0.25">
      <c r="A86" t="s">
        <v>100</v>
      </c>
      <c r="B86">
        <f>B85</f>
        <v>14000</v>
      </c>
      <c r="C86">
        <v>160</v>
      </c>
      <c r="D86">
        <f t="shared" si="12"/>
        <v>2240000</v>
      </c>
      <c r="E86">
        <f>E85</f>
        <v>2000</v>
      </c>
      <c r="F86">
        <v>230</v>
      </c>
      <c r="G86">
        <f t="shared" ref="G86" si="14">E86*F86</f>
        <v>460000</v>
      </c>
    </row>
    <row r="87" spans="1:7" x14ac:dyDescent="0.25">
      <c r="A87" t="s">
        <v>101</v>
      </c>
      <c r="B87">
        <f>B85</f>
        <v>14000</v>
      </c>
      <c r="C87">
        <f>D87/B87</f>
        <v>25.949275362318847</v>
      </c>
      <c r="D87">
        <f>D86-D85</f>
        <v>363289.85507246386</v>
      </c>
      <c r="E87">
        <f>E85</f>
        <v>2000</v>
      </c>
      <c r="F87">
        <f>G87/E87</f>
        <v>-30.5625</v>
      </c>
      <c r="G87">
        <f>G86-G85</f>
        <v>-61125</v>
      </c>
    </row>
    <row r="89" spans="1:7" x14ac:dyDescent="0.25">
      <c r="A89" t="s">
        <v>102</v>
      </c>
      <c r="B89">
        <f>D87+G87</f>
        <v>302164.85507246386</v>
      </c>
    </row>
  </sheetData>
  <mergeCells count="11">
    <mergeCell ref="B55:D55"/>
    <mergeCell ref="E55:G55"/>
    <mergeCell ref="B63:D63"/>
    <mergeCell ref="E63:G63"/>
    <mergeCell ref="B81:D81"/>
    <mergeCell ref="E81:G81"/>
    <mergeCell ref="B1:C1"/>
    <mergeCell ref="D1:G1"/>
    <mergeCell ref="A1:A2"/>
    <mergeCell ref="B24:D24"/>
    <mergeCell ref="E24:G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opLeftCell="A43" zoomScaleNormal="100" workbookViewId="0">
      <selection activeCell="D70" sqref="D70"/>
    </sheetView>
  </sheetViews>
  <sheetFormatPr defaultRowHeight="15" x14ac:dyDescent="0.25"/>
  <cols>
    <col min="1" max="1" width="35.140625" customWidth="1"/>
    <col min="2" max="2" width="16.42578125" customWidth="1"/>
    <col min="3" max="3" width="16.85546875" customWidth="1"/>
    <col min="4" max="4" width="18.85546875" customWidth="1"/>
    <col min="5" max="6" width="12.5703125" bestFit="1" customWidth="1"/>
    <col min="7" max="7" width="14.85546875" customWidth="1"/>
    <col min="8" max="9" width="9.28515625" bestFit="1" customWidth="1"/>
    <col min="10" max="10" width="9.5703125" bestFit="1" customWidth="1"/>
  </cols>
  <sheetData>
    <row r="1" spans="1:9" x14ac:dyDescent="0.25">
      <c r="A1" s="5" t="s">
        <v>37</v>
      </c>
      <c r="B1" s="5" t="s">
        <v>38</v>
      </c>
      <c r="C1" s="5"/>
      <c r="D1" s="5" t="s">
        <v>39</v>
      </c>
      <c r="E1" s="5"/>
      <c r="F1" s="5"/>
      <c r="G1" s="5"/>
    </row>
    <row r="2" spans="1:9" x14ac:dyDescent="0.25">
      <c r="A2" s="5"/>
      <c r="B2" t="s">
        <v>103</v>
      </c>
      <c r="C2" t="s">
        <v>104</v>
      </c>
      <c r="D2" t="s">
        <v>42</v>
      </c>
      <c r="E2" t="s">
        <v>43</v>
      </c>
      <c r="F2" t="s">
        <v>44</v>
      </c>
      <c r="G2" t="s">
        <v>105</v>
      </c>
      <c r="I2" t="s">
        <v>57</v>
      </c>
    </row>
    <row r="3" spans="1:9" x14ac:dyDescent="0.25">
      <c r="A3" t="s">
        <v>46</v>
      </c>
      <c r="B3" s="1">
        <v>18000</v>
      </c>
      <c r="C3" s="1">
        <v>30000</v>
      </c>
      <c r="D3" s="1">
        <v>1500</v>
      </c>
      <c r="E3" s="1">
        <v>15500</v>
      </c>
      <c r="F3" s="1">
        <v>13500</v>
      </c>
      <c r="G3" s="1">
        <v>5000</v>
      </c>
      <c r="I3">
        <f>SUM(B3:G3)</f>
        <v>83500</v>
      </c>
    </row>
    <row r="4" spans="1:9" x14ac:dyDescent="0.25">
      <c r="A4" t="s">
        <v>48</v>
      </c>
      <c r="B4" s="1"/>
      <c r="C4" s="1">
        <f>0.1*$B$6</f>
        <v>2121.2121212121215</v>
      </c>
      <c r="D4" s="1">
        <f>0.25*$B$6</f>
        <v>5303.030303030303</v>
      </c>
      <c r="E4" s="1">
        <f>0.2*$B$6</f>
        <v>4242.4242424242429</v>
      </c>
      <c r="F4" s="1">
        <f>0.2*$B$6</f>
        <v>4242.4242424242429</v>
      </c>
      <c r="G4" s="1">
        <f>0.25*$B$6</f>
        <v>5303.030303030303</v>
      </c>
      <c r="I4">
        <f t="shared" ref="I4:I6" si="0">SUM(B4:G4)</f>
        <v>21212.121212121216</v>
      </c>
    </row>
    <row r="5" spans="1:9" x14ac:dyDescent="0.25">
      <c r="A5" t="s">
        <v>49</v>
      </c>
      <c r="B5" s="1">
        <f>0.1*$C$6</f>
        <v>3212.121212121212</v>
      </c>
      <c r="C5" s="1"/>
      <c r="D5" s="1">
        <f>0.15*$C$6</f>
        <v>4818.181818181818</v>
      </c>
      <c r="E5" s="1">
        <f>0.25*$C$6</f>
        <v>8030.30303030303</v>
      </c>
      <c r="F5" s="1">
        <f>0.3*$C$6</f>
        <v>9636.363636363636</v>
      </c>
      <c r="G5" s="1">
        <f>0.2*$C$6</f>
        <v>6424.242424242424</v>
      </c>
      <c r="I5">
        <f t="shared" si="0"/>
        <v>32121.21212121212</v>
      </c>
    </row>
    <row r="6" spans="1:9" x14ac:dyDescent="0.25">
      <c r="A6" t="s">
        <v>47</v>
      </c>
      <c r="B6" s="1">
        <f>C16</f>
        <v>21212.121212121212</v>
      </c>
      <c r="C6" s="1">
        <f>C15</f>
        <v>32121.21212121212</v>
      </c>
      <c r="D6" s="1">
        <f>SUM(D3:D5)</f>
        <v>11621.21212121212</v>
      </c>
      <c r="E6" s="1">
        <f t="shared" ref="E6:G6" si="1">SUM(E3:E5)</f>
        <v>27772.727272727272</v>
      </c>
      <c r="F6" s="1">
        <f t="shared" si="1"/>
        <v>27378.78787878788</v>
      </c>
      <c r="G6" s="1">
        <f t="shared" si="1"/>
        <v>16727.272727272728</v>
      </c>
      <c r="I6">
        <f t="shared" si="0"/>
        <v>136833.33333333334</v>
      </c>
    </row>
    <row r="7" spans="1:9" x14ac:dyDescent="0.25">
      <c r="A7" t="s">
        <v>50</v>
      </c>
      <c r="D7" t="s">
        <v>111</v>
      </c>
      <c r="E7" t="s">
        <v>112</v>
      </c>
      <c r="F7" t="s">
        <v>112</v>
      </c>
      <c r="G7" t="s">
        <v>113</v>
      </c>
    </row>
    <row r="8" spans="1:9" x14ac:dyDescent="0.25">
      <c r="A8" t="s">
        <v>51</v>
      </c>
      <c r="D8" s="2">
        <f>(100*260+700*48+2100*3)/100</f>
        <v>659</v>
      </c>
      <c r="E8" s="2">
        <v>110</v>
      </c>
      <c r="F8" s="2">
        <v>110</v>
      </c>
      <c r="G8" s="2">
        <v>3500</v>
      </c>
    </row>
    <row r="9" spans="1:9" x14ac:dyDescent="0.25">
      <c r="A9" t="s">
        <v>52</v>
      </c>
      <c r="D9" s="1">
        <f t="shared" ref="D9:G9" si="2">D6/D8</f>
        <v>17.634616268910651</v>
      </c>
      <c r="E9" s="1">
        <f t="shared" si="2"/>
        <v>252.47933884297521</v>
      </c>
      <c r="F9" s="1">
        <f t="shared" si="2"/>
        <v>248.89807162534436</v>
      </c>
      <c r="G9" s="1">
        <f t="shared" si="2"/>
        <v>4.779220779220779</v>
      </c>
    </row>
    <row r="11" spans="1:9" x14ac:dyDescent="0.25">
      <c r="A11" t="s">
        <v>59</v>
      </c>
    </row>
    <row r="12" spans="1:9" x14ac:dyDescent="0.25">
      <c r="A12" t="s">
        <v>106</v>
      </c>
    </row>
    <row r="13" spans="1:9" x14ac:dyDescent="0.25">
      <c r="A13" t="s">
        <v>107</v>
      </c>
    </row>
    <row r="15" spans="1:9" x14ac:dyDescent="0.25">
      <c r="A15" t="s">
        <v>108</v>
      </c>
      <c r="B15" t="s">
        <v>109</v>
      </c>
      <c r="C15" s="1">
        <f>(30000+1800)/0.99</f>
        <v>32121.21212121212</v>
      </c>
    </row>
    <row r="16" spans="1:9" x14ac:dyDescent="0.25">
      <c r="B16" t="s">
        <v>110</v>
      </c>
      <c r="C16" s="1">
        <f>18000+C15*0.1</f>
        <v>21212.121212121212</v>
      </c>
    </row>
    <row r="18" spans="1:10" x14ac:dyDescent="0.25">
      <c r="A18" t="s">
        <v>60</v>
      </c>
      <c r="B18" s="5" t="s">
        <v>114</v>
      </c>
      <c r="C18" s="5"/>
      <c r="D18" s="5"/>
      <c r="E18" s="5" t="s">
        <v>115</v>
      </c>
      <c r="F18" s="5"/>
      <c r="G18" s="5"/>
      <c r="H18" s="5" t="s">
        <v>116</v>
      </c>
      <c r="I18" s="5"/>
      <c r="J18" s="5"/>
    </row>
    <row r="19" spans="1:10" x14ac:dyDescent="0.25">
      <c r="B19" t="s">
        <v>25</v>
      </c>
      <c r="C19" t="s">
        <v>26</v>
      </c>
      <c r="D19" t="s">
        <v>68</v>
      </c>
      <c r="E19" t="s">
        <v>25</v>
      </c>
      <c r="F19" t="s">
        <v>26</v>
      </c>
      <c r="G19" t="s">
        <v>68</v>
      </c>
      <c r="H19" t="s">
        <v>25</v>
      </c>
      <c r="I19" t="s">
        <v>26</v>
      </c>
      <c r="J19" t="s">
        <v>68</v>
      </c>
    </row>
    <row r="20" spans="1:10" x14ac:dyDescent="0.25">
      <c r="A20" t="s">
        <v>71</v>
      </c>
      <c r="B20" s="3">
        <v>100</v>
      </c>
      <c r="C20" s="3">
        <v>260</v>
      </c>
      <c r="D20" s="3">
        <f>B20*C20</f>
        <v>26000</v>
      </c>
      <c r="E20" s="3">
        <v>700</v>
      </c>
      <c r="F20" s="3">
        <v>48</v>
      </c>
      <c r="G20" s="3">
        <f>E20*F20</f>
        <v>33600</v>
      </c>
      <c r="H20" s="3">
        <v>2100</v>
      </c>
      <c r="I20" s="3">
        <v>3</v>
      </c>
      <c r="J20" s="3">
        <f>H20*I20</f>
        <v>6300</v>
      </c>
    </row>
    <row r="21" spans="1:10" x14ac:dyDescent="0.25">
      <c r="A21" t="s">
        <v>72</v>
      </c>
      <c r="B21" s="3">
        <f>D20/100</f>
        <v>260</v>
      </c>
      <c r="C21" s="1">
        <f>D9</f>
        <v>17.634616268910651</v>
      </c>
      <c r="D21" s="1">
        <f>B21*C21</f>
        <v>4585.0002299167691</v>
      </c>
      <c r="E21" s="3">
        <f>G20/100</f>
        <v>336</v>
      </c>
      <c r="F21" s="1">
        <f>D9</f>
        <v>17.634616268910651</v>
      </c>
      <c r="G21" s="1">
        <f>E21*F21</f>
        <v>5925.2310663539793</v>
      </c>
      <c r="H21" s="3">
        <f>J20/100</f>
        <v>63</v>
      </c>
      <c r="I21" s="1">
        <f>D9</f>
        <v>17.634616268910651</v>
      </c>
      <c r="J21" s="1">
        <f>H21*I21</f>
        <v>1110.9808249413711</v>
      </c>
    </row>
    <row r="22" spans="1:10" x14ac:dyDescent="0.25">
      <c r="A22" t="s">
        <v>73</v>
      </c>
      <c r="B22" s="3">
        <v>100</v>
      </c>
      <c r="C22" s="1">
        <f>D22/B22</f>
        <v>305.85000229916767</v>
      </c>
      <c r="D22" s="1">
        <f>D20+D21</f>
        <v>30585.000229916768</v>
      </c>
      <c r="E22" s="3">
        <v>700</v>
      </c>
      <c r="F22" s="1">
        <f>G22/E22</f>
        <v>56.464615809077117</v>
      </c>
      <c r="G22" s="1">
        <f>G20+G21</f>
        <v>39525.231066353983</v>
      </c>
      <c r="H22" s="3">
        <v>2100</v>
      </c>
      <c r="I22" s="1">
        <f>J22/H22</f>
        <v>3.5290384880673193</v>
      </c>
      <c r="J22" s="1">
        <f>J20+J21</f>
        <v>7410.9808249413709</v>
      </c>
    </row>
    <row r="23" spans="1:10" x14ac:dyDescent="0.25">
      <c r="B23" s="3"/>
      <c r="C23" s="1"/>
      <c r="D23" s="1"/>
      <c r="E23" s="3"/>
      <c r="F23" s="1"/>
      <c r="G23" s="1"/>
      <c r="H23" s="3"/>
      <c r="I23" s="1"/>
      <c r="J23" s="1"/>
    </row>
    <row r="25" spans="1:10" x14ac:dyDescent="0.25">
      <c r="A25" t="s">
        <v>114</v>
      </c>
      <c r="B25" t="s">
        <v>25</v>
      </c>
      <c r="C25" t="s">
        <v>26</v>
      </c>
      <c r="D25" t="s">
        <v>68</v>
      </c>
      <c r="F25" t="s">
        <v>25</v>
      </c>
      <c r="G25" t="s">
        <v>26</v>
      </c>
      <c r="H25" t="s">
        <v>68</v>
      </c>
    </row>
    <row r="26" spans="1:10" x14ac:dyDescent="0.25">
      <c r="A26" t="s">
        <v>28</v>
      </c>
      <c r="B26">
        <v>30</v>
      </c>
      <c r="C26">
        <v>300</v>
      </c>
      <c r="D26">
        <f>B26*C26</f>
        <v>9000</v>
      </c>
      <c r="E26" t="s">
        <v>77</v>
      </c>
      <c r="F26">
        <v>110</v>
      </c>
      <c r="G26">
        <f>C28</f>
        <v>304.50000176859055</v>
      </c>
      <c r="H26">
        <f>F26*G26</f>
        <v>33495.000194544962</v>
      </c>
    </row>
    <row r="27" spans="1:10" x14ac:dyDescent="0.25">
      <c r="A27" t="s">
        <v>75</v>
      </c>
      <c r="B27">
        <v>100</v>
      </c>
      <c r="C27" s="1">
        <f>C22</f>
        <v>305.85000229916767</v>
      </c>
      <c r="D27">
        <f>B27*C27</f>
        <v>30585.000229916768</v>
      </c>
      <c r="E27" t="s">
        <v>31</v>
      </c>
      <c r="F27">
        <f>B28-F26</f>
        <v>20</v>
      </c>
      <c r="G27">
        <f>G26</f>
        <v>304.50000176859055</v>
      </c>
      <c r="H27">
        <f>F27*G27</f>
        <v>6090.0000353718115</v>
      </c>
    </row>
    <row r="28" spans="1:10" x14ac:dyDescent="0.25">
      <c r="A28" t="s">
        <v>76</v>
      </c>
      <c r="B28">
        <f>SUM(B26:B27)</f>
        <v>130</v>
      </c>
      <c r="C28">
        <f>D28/B28</f>
        <v>304.50000176859055</v>
      </c>
      <c r="D28">
        <f t="shared" ref="D28" si="3">SUM(D26:D27)</f>
        <v>39585.000229916768</v>
      </c>
      <c r="E28" t="s">
        <v>76</v>
      </c>
      <c r="F28">
        <f>SUM(F26:F27)</f>
        <v>130</v>
      </c>
      <c r="G28">
        <f>G27</f>
        <v>304.50000176859055</v>
      </c>
      <c r="H28">
        <f t="shared" ref="H28" si="4">SUM(H26:H27)</f>
        <v>39585.000229916775</v>
      </c>
    </row>
    <row r="30" spans="1:10" x14ac:dyDescent="0.25">
      <c r="A30" t="s">
        <v>115</v>
      </c>
      <c r="B30" t="s">
        <v>25</v>
      </c>
      <c r="C30" t="s">
        <v>26</v>
      </c>
      <c r="D30" t="s">
        <v>68</v>
      </c>
      <c r="F30" t="s">
        <v>25</v>
      </c>
      <c r="G30" t="s">
        <v>26</v>
      </c>
      <c r="H30" t="s">
        <v>68</v>
      </c>
    </row>
    <row r="31" spans="1:10" x14ac:dyDescent="0.25">
      <c r="A31" t="s">
        <v>28</v>
      </c>
      <c r="B31">
        <v>200</v>
      </c>
      <c r="C31">
        <v>50</v>
      </c>
      <c r="D31">
        <f>B31*C31</f>
        <v>10000</v>
      </c>
      <c r="E31" t="s">
        <v>77</v>
      </c>
      <c r="F31">
        <v>800</v>
      </c>
      <c r="G31">
        <f>C33</f>
        <v>55.02803451817109</v>
      </c>
      <c r="H31">
        <f>F31*G31</f>
        <v>44022.427614536871</v>
      </c>
    </row>
    <row r="32" spans="1:10" x14ac:dyDescent="0.25">
      <c r="A32" t="s">
        <v>75</v>
      </c>
      <c r="B32">
        <v>700</v>
      </c>
      <c r="C32" s="1">
        <f>F22</f>
        <v>56.464615809077117</v>
      </c>
      <c r="D32">
        <f>B32*C32</f>
        <v>39525.231066353983</v>
      </c>
      <c r="E32" t="s">
        <v>31</v>
      </c>
      <c r="F32">
        <f>B33-F31</f>
        <v>100</v>
      </c>
      <c r="G32">
        <f>G31</f>
        <v>55.02803451817109</v>
      </c>
      <c r="H32">
        <f>F32*G32</f>
        <v>5502.8034518171089</v>
      </c>
    </row>
    <row r="33" spans="1:8" x14ac:dyDescent="0.25">
      <c r="A33" t="s">
        <v>76</v>
      </c>
      <c r="B33">
        <f>SUM(B31:B32)</f>
        <v>900</v>
      </c>
      <c r="C33">
        <f>D33/B33</f>
        <v>55.02803451817109</v>
      </c>
      <c r="D33">
        <f t="shared" ref="D33" si="5">SUM(D31:D32)</f>
        <v>49525.231066353983</v>
      </c>
      <c r="E33" t="s">
        <v>76</v>
      </c>
      <c r="F33">
        <f>SUM(F31:F32)</f>
        <v>900</v>
      </c>
      <c r="G33">
        <f>G32</f>
        <v>55.02803451817109</v>
      </c>
      <c r="H33">
        <f t="shared" ref="H33" si="6">SUM(H31:H32)</f>
        <v>49525.231066353983</v>
      </c>
    </row>
    <row r="35" spans="1:8" x14ac:dyDescent="0.25">
      <c r="A35" t="s">
        <v>116</v>
      </c>
      <c r="B35" t="s">
        <v>25</v>
      </c>
      <c r="C35" t="s">
        <v>26</v>
      </c>
      <c r="D35" t="s">
        <v>68</v>
      </c>
      <c r="F35" t="s">
        <v>25</v>
      </c>
      <c r="G35" t="s">
        <v>26</v>
      </c>
      <c r="H35" t="s">
        <v>68</v>
      </c>
    </row>
    <row r="36" spans="1:8" x14ac:dyDescent="0.25">
      <c r="A36" t="s">
        <v>28</v>
      </c>
      <c r="B36">
        <v>2000</v>
      </c>
      <c r="C36">
        <v>3.2</v>
      </c>
      <c r="D36">
        <f>B36*C36</f>
        <v>6400</v>
      </c>
      <c r="E36" t="s">
        <v>77</v>
      </c>
      <c r="F36">
        <v>3500</v>
      </c>
      <c r="G36">
        <f>C38</f>
        <v>3.3685319085222858</v>
      </c>
      <c r="H36">
        <f>F36*G36</f>
        <v>11789.861679828</v>
      </c>
    </row>
    <row r="37" spans="1:8" x14ac:dyDescent="0.25">
      <c r="A37" t="s">
        <v>75</v>
      </c>
      <c r="B37">
        <v>2100</v>
      </c>
      <c r="C37" s="1">
        <f>I22</f>
        <v>3.5290384880673193</v>
      </c>
      <c r="D37">
        <f>B37*C37</f>
        <v>7410.9808249413709</v>
      </c>
      <c r="E37" t="s">
        <v>31</v>
      </c>
      <c r="F37">
        <f>B38-F36</f>
        <v>600</v>
      </c>
      <c r="G37">
        <f>G36</f>
        <v>3.3685319085222858</v>
      </c>
      <c r="H37">
        <f>F37*G37</f>
        <v>2021.1191451133714</v>
      </c>
    </row>
    <row r="38" spans="1:8" x14ac:dyDescent="0.25">
      <c r="A38" t="s">
        <v>76</v>
      </c>
      <c r="B38">
        <f>SUM(B36:B37)</f>
        <v>4100</v>
      </c>
      <c r="C38">
        <f>D38/B38</f>
        <v>3.3685319085222858</v>
      </c>
      <c r="D38">
        <f t="shared" ref="D38" si="7">SUM(D36:D37)</f>
        <v>13810.980824941371</v>
      </c>
      <c r="E38" t="s">
        <v>76</v>
      </c>
      <c r="F38">
        <f>SUM(F36:F37)</f>
        <v>4100</v>
      </c>
      <c r="G38">
        <f>G37</f>
        <v>3.3685319085222858</v>
      </c>
      <c r="H38">
        <f t="shared" ref="H38" si="8">SUM(H36:H37)</f>
        <v>13810.980824941371</v>
      </c>
    </row>
    <row r="41" spans="1:8" x14ac:dyDescent="0.25">
      <c r="A41" s="5" t="s">
        <v>90</v>
      </c>
      <c r="B41" s="5" t="s">
        <v>41</v>
      </c>
      <c r="C41" s="5"/>
      <c r="D41" s="5"/>
      <c r="E41" s="5" t="s">
        <v>117</v>
      </c>
      <c r="F41" s="5"/>
      <c r="G41" s="5"/>
    </row>
    <row r="42" spans="1:8" x14ac:dyDescent="0.25">
      <c r="A42" s="5"/>
      <c r="B42" t="s">
        <v>25</v>
      </c>
      <c r="C42" t="s">
        <v>26</v>
      </c>
      <c r="D42" t="s">
        <v>68</v>
      </c>
      <c r="E42" t="s">
        <v>25</v>
      </c>
      <c r="F42" t="s">
        <v>26</v>
      </c>
      <c r="G42" t="s">
        <v>68</v>
      </c>
    </row>
    <row r="43" spans="1:8" x14ac:dyDescent="0.25">
      <c r="A43" t="s">
        <v>121</v>
      </c>
      <c r="B43">
        <f>0.4*110</f>
        <v>44</v>
      </c>
      <c r="C43">
        <f>C28</f>
        <v>304.50000176859055</v>
      </c>
      <c r="D43">
        <f>B43*C43</f>
        <v>13398.000077817984</v>
      </c>
      <c r="E43">
        <f>0.6*110</f>
        <v>66</v>
      </c>
      <c r="F43">
        <f>C43</f>
        <v>304.50000176859055</v>
      </c>
      <c r="G43">
        <f>E43*F43</f>
        <v>20097.000116726977</v>
      </c>
    </row>
    <row r="44" spans="1:8" x14ac:dyDescent="0.25">
      <c r="A44" t="s">
        <v>122</v>
      </c>
      <c r="B44">
        <f>0.4*800</f>
        <v>320</v>
      </c>
      <c r="C44">
        <f>C33</f>
        <v>55.02803451817109</v>
      </c>
      <c r="D44">
        <f t="shared" ref="D44:D47" si="9">B44*C44</f>
        <v>17608.971045814749</v>
      </c>
      <c r="E44">
        <f>0.6*800</f>
        <v>480</v>
      </c>
      <c r="F44">
        <f>C44</f>
        <v>55.02803451817109</v>
      </c>
      <c r="G44">
        <f t="shared" ref="G44:G47" si="10">E44*F44</f>
        <v>26413.456568722122</v>
      </c>
    </row>
    <row r="45" spans="1:8" x14ac:dyDescent="0.25">
      <c r="A45" t="s">
        <v>123</v>
      </c>
      <c r="B45">
        <v>1400</v>
      </c>
      <c r="C45">
        <f>C38</f>
        <v>3.3685319085222858</v>
      </c>
      <c r="D45">
        <f t="shared" si="9"/>
        <v>4715.9446719312</v>
      </c>
      <c r="E45">
        <v>2100</v>
      </c>
      <c r="F45">
        <f>C45</f>
        <v>3.3685319085222858</v>
      </c>
      <c r="G45">
        <f t="shared" si="10"/>
        <v>7073.9170078968</v>
      </c>
    </row>
    <row r="46" spans="1:8" x14ac:dyDescent="0.25">
      <c r="A46" t="s">
        <v>119</v>
      </c>
      <c r="B46">
        <f>200*0.4</f>
        <v>80</v>
      </c>
      <c r="C46">
        <v>35</v>
      </c>
      <c r="D46">
        <f t="shared" si="9"/>
        <v>2800</v>
      </c>
      <c r="E46">
        <f>200*0.6</f>
        <v>120</v>
      </c>
      <c r="F46">
        <v>35</v>
      </c>
      <c r="G46">
        <f t="shared" si="10"/>
        <v>4200</v>
      </c>
    </row>
    <row r="47" spans="1:8" x14ac:dyDescent="0.25">
      <c r="A47" t="s">
        <v>120</v>
      </c>
      <c r="B47">
        <f>400*0.4</f>
        <v>160</v>
      </c>
      <c r="C47">
        <v>20</v>
      </c>
      <c r="D47">
        <f t="shared" si="9"/>
        <v>3200</v>
      </c>
      <c r="E47">
        <f>400*0.6</f>
        <v>240</v>
      </c>
      <c r="F47">
        <v>20</v>
      </c>
      <c r="G47">
        <f t="shared" si="10"/>
        <v>4800</v>
      </c>
    </row>
    <row r="48" spans="1:8" x14ac:dyDescent="0.25">
      <c r="A48" t="s">
        <v>118</v>
      </c>
      <c r="B48">
        <f>B43</f>
        <v>44</v>
      </c>
      <c r="C48" s="1">
        <f>E9</f>
        <v>252.47933884297521</v>
      </c>
      <c r="D48">
        <f>B48*C48</f>
        <v>11109.09090909091</v>
      </c>
      <c r="E48">
        <f>E43</f>
        <v>66</v>
      </c>
      <c r="F48" s="1">
        <f>C48</f>
        <v>252.47933884297521</v>
      </c>
      <c r="G48">
        <f>E48*F48</f>
        <v>16663.636363636364</v>
      </c>
    </row>
    <row r="49" spans="1:8" x14ac:dyDescent="0.25">
      <c r="A49" t="s">
        <v>88</v>
      </c>
      <c r="B49">
        <f>B43</f>
        <v>44</v>
      </c>
      <c r="C49" s="1">
        <f>F9</f>
        <v>248.89807162534436</v>
      </c>
      <c r="D49">
        <f>B49*C49</f>
        <v>10951.515151515152</v>
      </c>
      <c r="E49">
        <f>E43</f>
        <v>66</v>
      </c>
      <c r="F49" s="1">
        <f>C49</f>
        <v>248.89807162534436</v>
      </c>
      <c r="G49">
        <f>E49*F49</f>
        <v>16427.272727272728</v>
      </c>
    </row>
    <row r="50" spans="1:8" x14ac:dyDescent="0.25">
      <c r="A50" t="s">
        <v>87</v>
      </c>
      <c r="C50" s="1"/>
      <c r="D50">
        <v>800</v>
      </c>
      <c r="F50" s="1"/>
      <c r="G50">
        <f>D50*0.6/0.4</f>
        <v>1200</v>
      </c>
    </row>
    <row r="51" spans="1:8" x14ac:dyDescent="0.25">
      <c r="A51" t="s">
        <v>90</v>
      </c>
      <c r="B51">
        <v>1400</v>
      </c>
      <c r="C51">
        <f>D51/B51</f>
        <v>46.131087040121429</v>
      </c>
      <c r="D51">
        <f>SUM(D43:D50)</f>
        <v>64583.521856170002</v>
      </c>
      <c r="E51">
        <v>2100</v>
      </c>
      <c r="F51">
        <f>G51/E51</f>
        <v>46.131087040121422</v>
      </c>
      <c r="G51">
        <f>SUM(G43:G50)</f>
        <v>96875.282784254989</v>
      </c>
    </row>
    <row r="54" spans="1:8" x14ac:dyDescent="0.25">
      <c r="A54" t="s">
        <v>41</v>
      </c>
      <c r="B54" t="s">
        <v>25</v>
      </c>
      <c r="C54" t="s">
        <v>26</v>
      </c>
      <c r="D54" t="s">
        <v>68</v>
      </c>
      <c r="F54" t="s">
        <v>25</v>
      </c>
      <c r="G54" t="s">
        <v>26</v>
      </c>
      <c r="H54" t="s">
        <v>68</v>
      </c>
    </row>
    <row r="55" spans="1:8" x14ac:dyDescent="0.25">
      <c r="A55" t="s">
        <v>28</v>
      </c>
      <c r="B55">
        <v>2200</v>
      </c>
      <c r="C55">
        <v>66</v>
      </c>
      <c r="D55">
        <f>B55*C55</f>
        <v>145200</v>
      </c>
      <c r="E55" t="s">
        <v>77</v>
      </c>
      <c r="F55">
        <v>2500</v>
      </c>
      <c r="G55">
        <f>C57</f>
        <v>58.273200515602781</v>
      </c>
      <c r="H55">
        <f>F55*G55</f>
        <v>145683.00128900696</v>
      </c>
    </row>
    <row r="56" spans="1:8" x14ac:dyDescent="0.25">
      <c r="A56" t="s">
        <v>75</v>
      </c>
      <c r="B56">
        <v>1400</v>
      </c>
      <c r="C56" s="1">
        <f>C51</f>
        <v>46.131087040121429</v>
      </c>
      <c r="D56">
        <f>B56*C56</f>
        <v>64583.521856170002</v>
      </c>
      <c r="E56" t="s">
        <v>31</v>
      </c>
      <c r="F56">
        <f>B57-F55</f>
        <v>1100</v>
      </c>
      <c r="G56">
        <f>G55</f>
        <v>58.273200515602781</v>
      </c>
      <c r="H56">
        <f>F56*G56</f>
        <v>64100.520567163061</v>
      </c>
    </row>
    <row r="57" spans="1:8" x14ac:dyDescent="0.25">
      <c r="A57" t="s">
        <v>76</v>
      </c>
      <c r="B57">
        <f>SUM(B55:B56)</f>
        <v>3600</v>
      </c>
      <c r="C57">
        <f>D57/B57</f>
        <v>58.273200515602781</v>
      </c>
      <c r="D57">
        <f t="shared" ref="D57" si="11">SUM(D55:D56)</f>
        <v>209783.52185617</v>
      </c>
      <c r="E57" t="s">
        <v>76</v>
      </c>
      <c r="F57">
        <f>SUM(F55:F56)</f>
        <v>3600</v>
      </c>
      <c r="G57">
        <f>G56</f>
        <v>58.273200515602781</v>
      </c>
      <c r="H57">
        <f t="shared" ref="H57" si="12">SUM(H55:H56)</f>
        <v>209783.52185617003</v>
      </c>
    </row>
    <row r="59" spans="1:8" x14ac:dyDescent="0.25">
      <c r="A59" t="s">
        <v>117</v>
      </c>
      <c r="B59" t="s">
        <v>25</v>
      </c>
      <c r="C59" t="s">
        <v>26</v>
      </c>
      <c r="D59" t="s">
        <v>68</v>
      </c>
      <c r="F59" t="s">
        <v>25</v>
      </c>
      <c r="G59" t="s">
        <v>26</v>
      </c>
      <c r="H59" t="s">
        <v>68</v>
      </c>
    </row>
    <row r="60" spans="1:8" x14ac:dyDescent="0.25">
      <c r="A60" t="s">
        <v>28</v>
      </c>
      <c r="B60">
        <v>2800</v>
      </c>
      <c r="C60">
        <v>64</v>
      </c>
      <c r="D60">
        <f>B60*C60</f>
        <v>179200</v>
      </c>
      <c r="E60" t="s">
        <v>77</v>
      </c>
      <c r="F60">
        <v>110</v>
      </c>
      <c r="G60">
        <f>C62</f>
        <v>56.341894445766322</v>
      </c>
      <c r="H60">
        <f>F60*G60</f>
        <v>6197.6083890342952</v>
      </c>
    </row>
    <row r="61" spans="1:8" x14ac:dyDescent="0.25">
      <c r="A61" t="s">
        <v>75</v>
      </c>
      <c r="B61">
        <v>2100</v>
      </c>
      <c r="C61" s="1">
        <f>C56</f>
        <v>46.131087040121429</v>
      </c>
      <c r="D61">
        <f>B61*C61</f>
        <v>96875.282784255003</v>
      </c>
      <c r="E61" t="s">
        <v>31</v>
      </c>
      <c r="F61">
        <f>B62-F60</f>
        <v>4790</v>
      </c>
      <c r="G61">
        <f>G60</f>
        <v>56.341894445766322</v>
      </c>
      <c r="H61">
        <f>F61*G61</f>
        <v>269877.6743952207</v>
      </c>
    </row>
    <row r="62" spans="1:8" x14ac:dyDescent="0.25">
      <c r="A62" t="s">
        <v>76</v>
      </c>
      <c r="B62">
        <f>SUM(B60:B61)</f>
        <v>4900</v>
      </c>
      <c r="C62">
        <f>D62/B62</f>
        <v>56.341894445766322</v>
      </c>
      <c r="D62">
        <f t="shared" ref="D62" si="13">SUM(D60:D61)</f>
        <v>276075.28278425499</v>
      </c>
      <c r="E62" t="s">
        <v>76</v>
      </c>
      <c r="F62">
        <f>SUM(F60:F61)</f>
        <v>4900</v>
      </c>
      <c r="G62">
        <f>G61</f>
        <v>56.341894445766322</v>
      </c>
      <c r="H62">
        <f t="shared" ref="H62" si="14">SUM(H60:H61)</f>
        <v>276075.28278425499</v>
      </c>
    </row>
    <row r="64" spans="1:8" x14ac:dyDescent="0.25">
      <c r="A64" t="s">
        <v>94</v>
      </c>
      <c r="B64" s="5" t="s">
        <v>41</v>
      </c>
      <c r="C64" s="5"/>
      <c r="D64" s="5"/>
      <c r="E64" s="5" t="s">
        <v>117</v>
      </c>
      <c r="F64" s="5"/>
      <c r="G64" s="5"/>
    </row>
    <row r="65" spans="1:7" x14ac:dyDescent="0.25">
      <c r="B65" t="s">
        <v>25</v>
      </c>
      <c r="C65" t="s">
        <v>26</v>
      </c>
      <c r="D65" t="s">
        <v>68</v>
      </c>
      <c r="E65" t="s">
        <v>25</v>
      </c>
      <c r="F65" t="s">
        <v>26</v>
      </c>
      <c r="G65" t="s">
        <v>68</v>
      </c>
    </row>
    <row r="66" spans="1:7" x14ac:dyDescent="0.25">
      <c r="A66" t="s">
        <v>97</v>
      </c>
      <c r="B66">
        <v>2500</v>
      </c>
      <c r="C66">
        <f>C57</f>
        <v>58.273200515602781</v>
      </c>
      <c r="D66">
        <f>B66*C66</f>
        <v>145683.00128900696</v>
      </c>
      <c r="E66">
        <v>3600</v>
      </c>
      <c r="F66">
        <f>G62</f>
        <v>56.341894445766322</v>
      </c>
      <c r="G66">
        <f>E66*F66</f>
        <v>202830.82000475875</v>
      </c>
    </row>
    <row r="67" spans="1:7" x14ac:dyDescent="0.25">
      <c r="A67" t="s">
        <v>124</v>
      </c>
      <c r="B67">
        <v>1400</v>
      </c>
      <c r="C67">
        <v>4.78</v>
      </c>
      <c r="D67">
        <f t="shared" ref="D67:D69" si="15">B67*C67</f>
        <v>6692</v>
      </c>
      <c r="E67">
        <v>2100</v>
      </c>
      <c r="F67">
        <v>4.78</v>
      </c>
      <c r="G67">
        <f t="shared" ref="G67" si="16">E67*F67</f>
        <v>10038</v>
      </c>
    </row>
    <row r="68" spans="1:7" x14ac:dyDescent="0.25">
      <c r="A68" t="s">
        <v>99</v>
      </c>
      <c r="B68">
        <f>B66</f>
        <v>2500</v>
      </c>
      <c r="C68">
        <f>D68/B68</f>
        <v>60.950000515602788</v>
      </c>
      <c r="D68">
        <f>SUM(D66:D67)</f>
        <v>152375.00128900696</v>
      </c>
      <c r="E68">
        <f>E66</f>
        <v>3600</v>
      </c>
      <c r="F68">
        <f>G68/E68</f>
        <v>59.130227779099648</v>
      </c>
      <c r="G68">
        <f>SUM(G66:G67)</f>
        <v>212868.82000475875</v>
      </c>
    </row>
    <row r="69" spans="1:7" x14ac:dyDescent="0.25">
      <c r="A69" t="s">
        <v>100</v>
      </c>
      <c r="B69">
        <v>2500</v>
      </c>
      <c r="C69">
        <v>60</v>
      </c>
      <c r="D69">
        <f t="shared" si="15"/>
        <v>150000</v>
      </c>
      <c r="E69">
        <v>3600</v>
      </c>
      <c r="F69">
        <v>75</v>
      </c>
      <c r="G69">
        <f t="shared" ref="G69" si="17">E69*F69</f>
        <v>270000</v>
      </c>
    </row>
    <row r="70" spans="1:7" x14ac:dyDescent="0.25">
      <c r="A70" t="s">
        <v>101</v>
      </c>
      <c r="B70">
        <v>2500</v>
      </c>
      <c r="C70">
        <f>D70/B70</f>
        <v>-0.9500005156027852</v>
      </c>
      <c r="D70">
        <f>D69-D68</f>
        <v>-2375.0012890069629</v>
      </c>
      <c r="E70">
        <v>3600</v>
      </c>
      <c r="F70">
        <f>G70/E70</f>
        <v>15.869772220900348</v>
      </c>
      <c r="G70">
        <f>G69-G68</f>
        <v>57131.179995241255</v>
      </c>
    </row>
    <row r="72" spans="1:7" x14ac:dyDescent="0.25">
      <c r="A72" t="s">
        <v>125</v>
      </c>
      <c r="B72">
        <f>D70+G70</f>
        <v>54756.178706234292</v>
      </c>
    </row>
  </sheetData>
  <mergeCells count="11">
    <mergeCell ref="B41:D41"/>
    <mergeCell ref="E41:G41"/>
    <mergeCell ref="A41:A42"/>
    <mergeCell ref="B64:D64"/>
    <mergeCell ref="E64:G64"/>
    <mergeCell ref="H18:J18"/>
    <mergeCell ref="A1:A2"/>
    <mergeCell ref="B1:C1"/>
    <mergeCell ref="D1:G1"/>
    <mergeCell ref="B18:D18"/>
    <mergeCell ref="E18:G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topLeftCell="A43" workbookViewId="0">
      <selection activeCell="D68" sqref="D68"/>
    </sheetView>
  </sheetViews>
  <sheetFormatPr defaultRowHeight="15" x14ac:dyDescent="0.25"/>
  <cols>
    <col min="1" max="1" width="41.28515625" customWidth="1"/>
    <col min="2" max="2" width="20.140625" customWidth="1"/>
    <col min="3" max="3" width="25" customWidth="1"/>
    <col min="4" max="4" width="19.42578125" customWidth="1"/>
    <col min="5" max="5" width="15" customWidth="1"/>
    <col min="6" max="6" width="12.42578125" customWidth="1"/>
    <col min="7" max="7" width="12.85546875" customWidth="1"/>
    <col min="8" max="8" width="33.7109375" customWidth="1"/>
    <col min="9" max="9" width="9.5703125" bestFit="1" customWidth="1"/>
  </cols>
  <sheetData>
    <row r="1" spans="1:9" x14ac:dyDescent="0.25">
      <c r="A1" s="5" t="s">
        <v>37</v>
      </c>
      <c r="B1" s="5" t="s">
        <v>38</v>
      </c>
      <c r="C1" s="5"/>
      <c r="D1" s="5" t="s">
        <v>39</v>
      </c>
      <c r="E1" s="5"/>
      <c r="F1" s="5"/>
      <c r="G1" s="5"/>
      <c r="H1" s="5"/>
      <c r="I1" s="4"/>
    </row>
    <row r="2" spans="1:9" x14ac:dyDescent="0.25">
      <c r="A2" s="5"/>
      <c r="B2" t="s">
        <v>40</v>
      </c>
      <c r="C2" t="s">
        <v>128</v>
      </c>
      <c r="D2" t="s">
        <v>42</v>
      </c>
      <c r="E2" t="s">
        <v>126</v>
      </c>
      <c r="F2" t="s">
        <v>127</v>
      </c>
      <c r="G2" t="s">
        <v>45</v>
      </c>
      <c r="H2" t="s">
        <v>105</v>
      </c>
      <c r="I2" t="s">
        <v>57</v>
      </c>
    </row>
    <row r="3" spans="1:9" x14ac:dyDescent="0.25">
      <c r="A3" t="s">
        <v>46</v>
      </c>
      <c r="B3" s="1">
        <v>40000</v>
      </c>
      <c r="C3" s="1">
        <v>60000</v>
      </c>
      <c r="D3" s="1">
        <v>20000</v>
      </c>
      <c r="E3" s="1">
        <v>80000</v>
      </c>
      <c r="F3" s="1">
        <v>30000</v>
      </c>
      <c r="G3" s="1">
        <v>95000</v>
      </c>
      <c r="H3" s="1">
        <v>110000</v>
      </c>
      <c r="I3">
        <f>SUM(B3:H3)</f>
        <v>435000</v>
      </c>
    </row>
    <row r="4" spans="1:9" x14ac:dyDescent="0.25">
      <c r="A4" t="s">
        <v>48</v>
      </c>
      <c r="B4" s="1"/>
      <c r="C4" s="1">
        <f>0.2*$B$6</f>
        <v>9387.7551020408173</v>
      </c>
      <c r="D4" s="1">
        <f>0.05*$B$6</f>
        <v>2346.9387755102043</v>
      </c>
      <c r="E4" s="1">
        <f>0.2*$B$6</f>
        <v>9387.7551020408173</v>
      </c>
      <c r="F4" s="1">
        <f>0.2*$B$6</f>
        <v>9387.7551020408173</v>
      </c>
      <c r="G4" s="1">
        <f>0.15*$B$6</f>
        <v>7040.8163265306121</v>
      </c>
      <c r="H4" s="1">
        <f>0.2*$B$6</f>
        <v>9387.7551020408173</v>
      </c>
      <c r="I4" s="1">
        <f>SUM(B4:H4)</f>
        <v>46938.775510204083</v>
      </c>
    </row>
    <row r="5" spans="1:9" x14ac:dyDescent="0.25">
      <c r="A5" t="s">
        <v>49</v>
      </c>
      <c r="B5" s="1">
        <f>0.1*$C$6</f>
        <v>6938.7755102040819</v>
      </c>
      <c r="C5" s="1"/>
      <c r="D5" s="1">
        <f>0.1*$C$6</f>
        <v>6938.7755102040819</v>
      </c>
      <c r="E5" s="1">
        <f>0.05*$C$6</f>
        <v>3469.387755102041</v>
      </c>
      <c r="F5" s="1">
        <f>0.05*$C$6</f>
        <v>3469.387755102041</v>
      </c>
      <c r="G5" s="1">
        <f>0.5*$C$6</f>
        <v>34693.877551020407</v>
      </c>
      <c r="H5" s="1">
        <f>0.2*$C$6</f>
        <v>13877.551020408164</v>
      </c>
      <c r="I5" s="1">
        <f>SUM(B5:H5)</f>
        <v>69387.755102040814</v>
      </c>
    </row>
    <row r="6" spans="1:9" x14ac:dyDescent="0.25">
      <c r="A6" t="s">
        <v>47</v>
      </c>
      <c r="B6" s="1">
        <f>C15</f>
        <v>46938.775510204083</v>
      </c>
      <c r="C6" s="1">
        <f>C16</f>
        <v>69387.755102040814</v>
      </c>
      <c r="D6" s="1">
        <f>SUM(D3:D5)</f>
        <v>29285.714285714286</v>
      </c>
      <c r="E6" s="1">
        <f t="shared" ref="E6:H6" si="0">SUM(E3:E5)</f>
        <v>92857.142857142855</v>
      </c>
      <c r="F6" s="1">
        <f t="shared" si="0"/>
        <v>42857.142857142855</v>
      </c>
      <c r="G6" s="1">
        <f t="shared" si="0"/>
        <v>136734.69387755101</v>
      </c>
      <c r="H6" s="1">
        <f t="shared" si="0"/>
        <v>133265.30612244896</v>
      </c>
      <c r="I6" s="1"/>
    </row>
    <row r="7" spans="1:9" x14ac:dyDescent="0.25">
      <c r="A7" t="s">
        <v>50</v>
      </c>
      <c r="D7" t="s">
        <v>134</v>
      </c>
      <c r="E7" t="s">
        <v>135</v>
      </c>
      <c r="F7" t="s">
        <v>136</v>
      </c>
      <c r="G7" t="s">
        <v>137</v>
      </c>
      <c r="H7" t="s">
        <v>138</v>
      </c>
    </row>
    <row r="8" spans="1:9" x14ac:dyDescent="0.25">
      <c r="A8" t="s">
        <v>51</v>
      </c>
      <c r="D8" s="2">
        <v>120</v>
      </c>
      <c r="E8" s="2">
        <v>4000</v>
      </c>
      <c r="F8" s="2">
        <v>5700</v>
      </c>
      <c r="G8" s="2">
        <f>6000*1.7</f>
        <v>10200</v>
      </c>
      <c r="H8">
        <f>H42/100</f>
        <v>7390.5545805545808</v>
      </c>
    </row>
    <row r="9" spans="1:9" x14ac:dyDescent="0.25">
      <c r="A9" t="s">
        <v>52</v>
      </c>
      <c r="D9" s="1">
        <f t="shared" ref="D9:H9" si="1">D6/D8</f>
        <v>244.04761904761907</v>
      </c>
      <c r="E9" s="1">
        <f t="shared" si="1"/>
        <v>23.214285714285715</v>
      </c>
      <c r="F9" s="1">
        <f t="shared" si="1"/>
        <v>7.518796992481203</v>
      </c>
      <c r="G9" s="1">
        <f t="shared" si="1"/>
        <v>13.405362144857941</v>
      </c>
      <c r="H9" s="1">
        <f t="shared" si="1"/>
        <v>18.031841138564307</v>
      </c>
    </row>
    <row r="11" spans="1:9" x14ac:dyDescent="0.25">
      <c r="A11" t="s">
        <v>59</v>
      </c>
    </row>
    <row r="12" spans="1:9" x14ac:dyDescent="0.25">
      <c r="A12" t="s">
        <v>129</v>
      </c>
    </row>
    <row r="13" spans="1:9" x14ac:dyDescent="0.25">
      <c r="A13" t="s">
        <v>130</v>
      </c>
    </row>
    <row r="15" spans="1:9" x14ac:dyDescent="0.25">
      <c r="A15" t="s">
        <v>131</v>
      </c>
      <c r="B15" t="s">
        <v>132</v>
      </c>
      <c r="C15" s="1">
        <f>(46000)/0.98</f>
        <v>46938.775510204083</v>
      </c>
    </row>
    <row r="16" spans="1:9" x14ac:dyDescent="0.25">
      <c r="B16" t="s">
        <v>133</v>
      </c>
      <c r="C16" s="1">
        <f>60000+C15*0.2</f>
        <v>69387.755102040814</v>
      </c>
    </row>
    <row r="18" spans="1:10" x14ac:dyDescent="0.25">
      <c r="A18" t="s">
        <v>139</v>
      </c>
      <c r="B18" s="5" t="s">
        <v>143</v>
      </c>
      <c r="C18" s="5"/>
      <c r="D18" s="5"/>
      <c r="E18" s="5"/>
      <c r="F18" s="5"/>
      <c r="G18" s="5"/>
      <c r="H18" s="5"/>
      <c r="I18" s="5"/>
      <c r="J18" s="5"/>
    </row>
    <row r="19" spans="1:10" x14ac:dyDescent="0.25">
      <c r="B19" t="s">
        <v>25</v>
      </c>
      <c r="C19" t="s">
        <v>26</v>
      </c>
      <c r="D19" t="s">
        <v>68</v>
      </c>
    </row>
    <row r="20" spans="1:10" x14ac:dyDescent="0.25">
      <c r="A20" t="s">
        <v>71</v>
      </c>
      <c r="B20" s="3">
        <v>12000</v>
      </c>
      <c r="C20" s="3">
        <v>27.68</v>
      </c>
      <c r="D20" s="3">
        <f>B20*C20</f>
        <v>332160</v>
      </c>
      <c r="E20" s="3"/>
      <c r="F20" s="3"/>
      <c r="G20" s="3"/>
      <c r="H20" s="3"/>
      <c r="I20" s="3"/>
      <c r="J20" s="3"/>
    </row>
    <row r="21" spans="1:10" x14ac:dyDescent="0.25">
      <c r="A21" t="s">
        <v>72</v>
      </c>
      <c r="B21" s="3">
        <v>120</v>
      </c>
      <c r="C21" s="1">
        <f>D9</f>
        <v>244.04761904761907</v>
      </c>
      <c r="D21" s="1">
        <f>B21*C21</f>
        <v>29285.714285714286</v>
      </c>
      <c r="E21" s="3"/>
      <c r="F21" s="1"/>
      <c r="G21" s="1"/>
      <c r="H21" s="3"/>
      <c r="I21" s="1"/>
      <c r="J21" s="1"/>
    </row>
    <row r="22" spans="1:10" x14ac:dyDescent="0.25">
      <c r="A22" t="s">
        <v>73</v>
      </c>
      <c r="B22" s="3">
        <v>12000</v>
      </c>
      <c r="C22" s="1">
        <f>D22/B22</f>
        <v>30.12047619047619</v>
      </c>
      <c r="D22" s="1">
        <f>D20+D21</f>
        <v>361445.71428571426</v>
      </c>
      <c r="E22" s="3"/>
      <c r="F22" s="1"/>
      <c r="G22" s="1"/>
      <c r="H22" s="3"/>
      <c r="I22" s="1"/>
      <c r="J22" s="1"/>
    </row>
    <row r="23" spans="1:10" x14ac:dyDescent="0.25">
      <c r="B23" s="3"/>
      <c r="C23" s="1"/>
      <c r="D23" s="1"/>
      <c r="E23" s="3"/>
      <c r="F23" s="1"/>
      <c r="G23" s="1"/>
      <c r="H23" s="3"/>
      <c r="I23" s="1"/>
      <c r="J23" s="1"/>
    </row>
    <row r="25" spans="1:10" x14ac:dyDescent="0.25">
      <c r="A25" t="s">
        <v>140</v>
      </c>
      <c r="B25" t="s">
        <v>25</v>
      </c>
      <c r="C25" t="s">
        <v>26</v>
      </c>
      <c r="D25" t="s">
        <v>68</v>
      </c>
      <c r="F25" t="s">
        <v>25</v>
      </c>
      <c r="G25" t="s">
        <v>26</v>
      </c>
      <c r="H25" t="s">
        <v>68</v>
      </c>
    </row>
    <row r="26" spans="1:10" x14ac:dyDescent="0.25">
      <c r="A26" t="s">
        <v>28</v>
      </c>
      <c r="B26">
        <v>2800</v>
      </c>
      <c r="C26">
        <v>28.6</v>
      </c>
      <c r="D26">
        <f>B26*C26</f>
        <v>80080</v>
      </c>
      <c r="E26" t="s">
        <v>77</v>
      </c>
      <c r="F26">
        <v>10260</v>
      </c>
      <c r="G26">
        <f>C28</f>
        <v>29.832818532818532</v>
      </c>
      <c r="H26">
        <f>F26*G26</f>
        <v>306084.71814671817</v>
      </c>
    </row>
    <row r="27" spans="1:10" x14ac:dyDescent="0.25">
      <c r="A27" t="s">
        <v>75</v>
      </c>
      <c r="B27">
        <v>12000</v>
      </c>
      <c r="C27" s="1">
        <f>C22</f>
        <v>30.12047619047619</v>
      </c>
      <c r="D27">
        <f>B27*C27</f>
        <v>361445.71428571426</v>
      </c>
      <c r="E27" t="s">
        <v>31</v>
      </c>
      <c r="F27">
        <f>B28-F26</f>
        <v>4540</v>
      </c>
      <c r="G27">
        <f>G26</f>
        <v>29.832818532818532</v>
      </c>
      <c r="H27">
        <f>F27*G27</f>
        <v>135440.99613899612</v>
      </c>
    </row>
    <row r="28" spans="1:10" x14ac:dyDescent="0.25">
      <c r="A28" t="s">
        <v>76</v>
      </c>
      <c r="B28">
        <f>SUM(B26:B27)</f>
        <v>14800</v>
      </c>
      <c r="C28">
        <f>D28/B28</f>
        <v>29.832818532818532</v>
      </c>
      <c r="D28">
        <f t="shared" ref="D28" si="2">SUM(D26:D27)</f>
        <v>441525.71428571426</v>
      </c>
      <c r="E28" t="s">
        <v>76</v>
      </c>
      <c r="F28">
        <f>SUM(F26:F27)</f>
        <v>14800</v>
      </c>
      <c r="G28">
        <f>G27</f>
        <v>29.832818532818532</v>
      </c>
      <c r="H28">
        <f t="shared" ref="H28" si="3">SUM(H26:H27)</f>
        <v>441525.71428571432</v>
      </c>
    </row>
    <row r="32" spans="1:10" x14ac:dyDescent="0.25">
      <c r="A32" s="5" t="s">
        <v>90</v>
      </c>
      <c r="B32" s="5"/>
      <c r="C32" s="5"/>
      <c r="D32" s="5"/>
      <c r="E32" s="5"/>
      <c r="F32" s="5"/>
      <c r="G32" s="5"/>
    </row>
    <row r="33" spans="1:8" x14ac:dyDescent="0.25">
      <c r="A33" s="5"/>
      <c r="B33" t="s">
        <v>25</v>
      </c>
      <c r="C33" t="s">
        <v>26</v>
      </c>
      <c r="D33" t="s">
        <v>68</v>
      </c>
    </row>
    <row r="34" spans="1:8" x14ac:dyDescent="0.25">
      <c r="A34" t="s">
        <v>141</v>
      </c>
      <c r="B34">
        <f>F26</f>
        <v>10260</v>
      </c>
      <c r="C34">
        <f>C28</f>
        <v>29.832818532818532</v>
      </c>
      <c r="D34">
        <f>B34*C34</f>
        <v>306084.71814671817</v>
      </c>
    </row>
    <row r="35" spans="1:8" x14ac:dyDescent="0.25">
      <c r="A35" t="s">
        <v>142</v>
      </c>
      <c r="B35">
        <v>4000</v>
      </c>
      <c r="C35">
        <v>66</v>
      </c>
      <c r="D35">
        <f t="shared" ref="D35" si="4">B35*C35</f>
        <v>264000</v>
      </c>
    </row>
    <row r="36" spans="1:8" x14ac:dyDescent="0.25">
      <c r="A36" t="s">
        <v>126</v>
      </c>
      <c r="B36">
        <v>4000</v>
      </c>
      <c r="C36" s="1">
        <f>E9</f>
        <v>23.214285714285715</v>
      </c>
      <c r="D36">
        <f>B36*C36</f>
        <v>92857.142857142855</v>
      </c>
      <c r="F36" s="1"/>
    </row>
    <row r="37" spans="1:8" x14ac:dyDescent="0.25">
      <c r="A37" t="s">
        <v>127</v>
      </c>
      <c r="B37" s="2">
        <f>F8</f>
        <v>5700</v>
      </c>
      <c r="C37" s="1">
        <f>F9</f>
        <v>7.518796992481203</v>
      </c>
      <c r="D37">
        <f>B37*C37</f>
        <v>42857.142857142855</v>
      </c>
      <c r="F37" s="1"/>
    </row>
    <row r="38" spans="1:8" x14ac:dyDescent="0.25">
      <c r="A38" t="s">
        <v>90</v>
      </c>
      <c r="B38">
        <v>5700</v>
      </c>
      <c r="C38">
        <f>D38/B38</f>
        <v>123.82438664228137</v>
      </c>
      <c r="D38">
        <f>SUM(D34:D37)</f>
        <v>705799.00386100379</v>
      </c>
    </row>
    <row r="41" spans="1:8" x14ac:dyDescent="0.25">
      <c r="A41" t="s">
        <v>143</v>
      </c>
      <c r="B41" t="s">
        <v>25</v>
      </c>
      <c r="C41" t="s">
        <v>26</v>
      </c>
      <c r="D41" t="s">
        <v>68</v>
      </c>
      <c r="F41" t="s">
        <v>25</v>
      </c>
      <c r="G41" t="s">
        <v>26</v>
      </c>
      <c r="H41" t="s">
        <v>68</v>
      </c>
    </row>
    <row r="42" spans="1:8" x14ac:dyDescent="0.25">
      <c r="A42" t="s">
        <v>28</v>
      </c>
      <c r="B42">
        <v>900</v>
      </c>
      <c r="C42">
        <f>D42/B42</f>
        <v>119.06888888888889</v>
      </c>
      <c r="D42">
        <v>107162</v>
      </c>
      <c r="E42" t="s">
        <v>77</v>
      </c>
      <c r="F42">
        <v>6000</v>
      </c>
      <c r="G42">
        <f>C44</f>
        <v>123.17590967590966</v>
      </c>
      <c r="H42">
        <f>F42*G42</f>
        <v>739055.45805545803</v>
      </c>
    </row>
    <row r="43" spans="1:8" x14ac:dyDescent="0.25">
      <c r="A43" t="s">
        <v>75</v>
      </c>
      <c r="B43">
        <v>5700</v>
      </c>
      <c r="C43" s="1">
        <f>C38</f>
        <v>123.82438664228137</v>
      </c>
      <c r="D43">
        <f>B43*C43</f>
        <v>705799.00386100379</v>
      </c>
      <c r="E43" t="s">
        <v>31</v>
      </c>
      <c r="F43">
        <f>B44-F42</f>
        <v>600</v>
      </c>
      <c r="G43">
        <f>G42</f>
        <v>123.17590967590966</v>
      </c>
      <c r="H43">
        <f>F43*G43</f>
        <v>73905.5458055458</v>
      </c>
    </row>
    <row r="44" spans="1:8" x14ac:dyDescent="0.25">
      <c r="A44" t="s">
        <v>76</v>
      </c>
      <c r="B44">
        <f>SUM(B42:B43)</f>
        <v>6600</v>
      </c>
      <c r="C44">
        <f>D44/B44</f>
        <v>123.17590967590966</v>
      </c>
      <c r="D44">
        <f t="shared" ref="D44" si="5">SUM(D42:D43)</f>
        <v>812961.00386100379</v>
      </c>
      <c r="E44" t="s">
        <v>76</v>
      </c>
      <c r="F44">
        <f>SUM(F42:F43)</f>
        <v>6600</v>
      </c>
      <c r="G44">
        <f>G43</f>
        <v>123.17590967590966</v>
      </c>
      <c r="H44">
        <f t="shared" ref="H44" si="6">SUM(H42:H43)</f>
        <v>812961.00386100379</v>
      </c>
    </row>
    <row r="46" spans="1:8" x14ac:dyDescent="0.25">
      <c r="A46" t="s">
        <v>144</v>
      </c>
      <c r="B46" t="s">
        <v>25</v>
      </c>
      <c r="C46" t="s">
        <v>26</v>
      </c>
      <c r="D46" t="s">
        <v>68</v>
      </c>
    </row>
    <row r="47" spans="1:8" x14ac:dyDescent="0.25">
      <c r="A47" t="s">
        <v>45</v>
      </c>
      <c r="B47">
        <v>10200</v>
      </c>
      <c r="C47" s="1">
        <f>G9</f>
        <v>13.405362144857941</v>
      </c>
      <c r="D47">
        <f>B47*C47</f>
        <v>136734.69387755101</v>
      </c>
    </row>
    <row r="48" spans="1:8" x14ac:dyDescent="0.25">
      <c r="A48" t="s">
        <v>105</v>
      </c>
      <c r="B48">
        <v>7391</v>
      </c>
      <c r="C48" s="1">
        <f>H9</f>
        <v>18.031841138564307</v>
      </c>
      <c r="D48">
        <f>B48*C48</f>
        <v>133273.3378551288</v>
      </c>
    </row>
    <row r="49" spans="1:4" x14ac:dyDescent="0.25">
      <c r="A49" t="s">
        <v>144</v>
      </c>
      <c r="D49">
        <f>D47+D48</f>
        <v>270008.03173267981</v>
      </c>
    </row>
    <row r="56" spans="1:4" x14ac:dyDescent="0.25">
      <c r="A56" t="s">
        <v>94</v>
      </c>
      <c r="B56" s="5" t="s">
        <v>143</v>
      </c>
      <c r="C56" s="5"/>
      <c r="D56" s="5"/>
    </row>
    <row r="57" spans="1:4" x14ac:dyDescent="0.25">
      <c r="B57" t="s">
        <v>25</v>
      </c>
      <c r="C57" t="s">
        <v>26</v>
      </c>
      <c r="D57" t="s">
        <v>68</v>
      </c>
    </row>
    <row r="58" spans="1:4" x14ac:dyDescent="0.25">
      <c r="A58" t="s">
        <v>97</v>
      </c>
      <c r="B58">
        <v>6000</v>
      </c>
      <c r="C58">
        <f>C44</f>
        <v>123.17590967590966</v>
      </c>
      <c r="D58">
        <f>B58*C58</f>
        <v>739055.45805545803</v>
      </c>
    </row>
    <row r="59" spans="1:4" x14ac:dyDescent="0.25">
      <c r="A59" t="s">
        <v>145</v>
      </c>
      <c r="D59">
        <f>D49</f>
        <v>270008.03173267981</v>
      </c>
    </row>
    <row r="60" spans="1:4" x14ac:dyDescent="0.25">
      <c r="A60" t="s">
        <v>99</v>
      </c>
      <c r="B60">
        <f>B58</f>
        <v>6000</v>
      </c>
      <c r="C60">
        <f>D60/B60</f>
        <v>168.17724829802296</v>
      </c>
      <c r="D60">
        <f>SUM(D58:D59)</f>
        <v>1009063.4897881378</v>
      </c>
    </row>
    <row r="65" spans="1:4" x14ac:dyDescent="0.25">
      <c r="A65" t="s">
        <v>147</v>
      </c>
      <c r="B65" t="s">
        <v>25</v>
      </c>
      <c r="C65" t="s">
        <v>26</v>
      </c>
      <c r="D65" t="s">
        <v>68</v>
      </c>
    </row>
    <row r="66" spans="1:4" x14ac:dyDescent="0.25">
      <c r="A66" t="s">
        <v>146</v>
      </c>
      <c r="B66">
        <v>6000</v>
      </c>
      <c r="C66">
        <v>170</v>
      </c>
      <c r="D66">
        <f>B66*C66</f>
        <v>1020000</v>
      </c>
    </row>
    <row r="67" spans="1:4" x14ac:dyDescent="0.25">
      <c r="A67" t="s">
        <v>99</v>
      </c>
      <c r="B67">
        <v>6000</v>
      </c>
      <c r="C67">
        <f>C60</f>
        <v>168.17724829802296</v>
      </c>
      <c r="D67">
        <f>D60</f>
        <v>1009063.4897881378</v>
      </c>
    </row>
    <row r="68" spans="1:4" x14ac:dyDescent="0.25">
      <c r="A68" t="s">
        <v>101</v>
      </c>
      <c r="B68">
        <v>6000</v>
      </c>
      <c r="C68">
        <f>D68/B68</f>
        <v>1.8227517019770263</v>
      </c>
      <c r="D68">
        <f>D66-D60</f>
        <v>10936.510211862158</v>
      </c>
    </row>
  </sheetData>
  <mergeCells count="10">
    <mergeCell ref="B56:D56"/>
    <mergeCell ref="A1:A2"/>
    <mergeCell ref="B1:C1"/>
    <mergeCell ref="B18:D18"/>
    <mergeCell ref="E18:G18"/>
    <mergeCell ref="H18:J18"/>
    <mergeCell ref="D1:H1"/>
    <mergeCell ref="A32:A33"/>
    <mergeCell ref="B32:D32"/>
    <mergeCell ref="E32:G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EB2017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2018-02-06T08:39:16Z</dcterms:created>
  <dcterms:modified xsi:type="dcterms:W3CDTF">2018-03-12T15:07:17Z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1c29722b-7c8d-4973-944a-07eeacec589a</vt:lpwstr>
  </property>
</Properties>
</file>