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Exercice 1" sheetId="1" r:id="rId1"/>
    <sheet name="Exercice 2" sheetId="2" r:id="rId2"/>
  </sheets>
  <calcPr calcId="152511"/>
</workbook>
</file>

<file path=xl/calcChain.xml><?xml version="1.0" encoding="utf-8"?>
<calcChain xmlns="http://schemas.openxmlformats.org/spreadsheetml/2006/main">
  <c r="I19" i="2" l="1"/>
  <c r="I16" i="2"/>
  <c r="L15" i="2"/>
  <c r="I12" i="2"/>
  <c r="I6" i="2"/>
  <c r="C22" i="2"/>
  <c r="F15" i="2"/>
  <c r="C12" i="2"/>
  <c r="D83" i="1"/>
  <c r="E83" i="1"/>
  <c r="D82" i="1"/>
  <c r="D74" i="1"/>
  <c r="E74" i="1"/>
  <c r="E82" i="1" s="1"/>
  <c r="D72" i="1"/>
  <c r="E81" i="1"/>
  <c r="E73" i="1"/>
  <c r="I9" i="1"/>
  <c r="I11" i="1"/>
  <c r="C64" i="1"/>
  <c r="E72" i="1"/>
  <c r="H52" i="1"/>
  <c r="E63" i="1"/>
  <c r="D63" i="1"/>
  <c r="C63" i="1"/>
  <c r="H53" i="1"/>
  <c r="G53" i="1"/>
  <c r="D56" i="1"/>
  <c r="C32" i="1"/>
  <c r="C33" i="1" s="1"/>
  <c r="G32" i="1" s="1"/>
  <c r="G33" i="1" s="1"/>
  <c r="C53" i="1"/>
  <c r="C54" i="1" s="1"/>
  <c r="D52" i="1"/>
  <c r="D44" i="1"/>
  <c r="E44" i="1" s="1"/>
  <c r="E43" i="1"/>
  <c r="D43" i="1"/>
  <c r="E42" i="1"/>
  <c r="D32" i="1"/>
  <c r="D25" i="1"/>
  <c r="C25" i="1"/>
  <c r="E32" i="1"/>
  <c r="D33" i="1" s="1"/>
  <c r="H31" i="1" s="1"/>
  <c r="I31" i="1" s="1"/>
  <c r="E31" i="1"/>
  <c r="E24" i="1"/>
  <c r="E25" i="1" s="1"/>
  <c r="D24" i="1"/>
  <c r="E23" i="1"/>
  <c r="F9" i="1"/>
  <c r="G9" i="1"/>
  <c r="H9" i="1"/>
  <c r="E9" i="1"/>
  <c r="E12" i="1" s="1"/>
  <c r="H11" i="1"/>
  <c r="F12" i="1"/>
  <c r="G12" i="1"/>
  <c r="C9" i="1"/>
  <c r="H7" i="1" s="1"/>
  <c r="D41" i="1" l="1"/>
  <c r="E41" i="1" s="1"/>
  <c r="E45" i="1" s="1"/>
  <c r="D45" i="1" s="1"/>
  <c r="D53" i="1" s="1"/>
  <c r="E53" i="1" s="1"/>
  <c r="D54" i="1" s="1"/>
  <c r="E33" i="1"/>
  <c r="H32" i="1"/>
  <c r="H33" i="1" s="1"/>
  <c r="I32" i="1"/>
  <c r="D35" i="1"/>
  <c r="H12" i="1"/>
  <c r="F7" i="1"/>
  <c r="D9" i="1"/>
  <c r="I7" i="1"/>
  <c r="D7" i="1"/>
  <c r="G7" i="1"/>
  <c r="E7" i="1"/>
  <c r="E64" i="1" l="1"/>
  <c r="E65" i="1" s="1"/>
  <c r="H54" i="1"/>
  <c r="I52" i="1"/>
  <c r="E54" i="1"/>
  <c r="G54" i="1"/>
  <c r="I54" i="1" s="1"/>
  <c r="I53" i="1"/>
  <c r="H8" i="1"/>
  <c r="F8" i="1"/>
  <c r="G8" i="1"/>
  <c r="I8" i="1"/>
  <c r="E8" i="1"/>
  <c r="C8" i="1"/>
  <c r="I33" i="1" l="1"/>
</calcChain>
</file>

<file path=xl/sharedStrings.xml><?xml version="1.0" encoding="utf-8"?>
<sst xmlns="http://schemas.openxmlformats.org/spreadsheetml/2006/main" count="140" uniqueCount="85">
  <si>
    <t>Charges par nature</t>
  </si>
  <si>
    <t>Centre auxiliaire</t>
  </si>
  <si>
    <t>Centres principaux</t>
  </si>
  <si>
    <t>Approvisionnement</t>
  </si>
  <si>
    <t>Distribution</t>
  </si>
  <si>
    <t>Total après répartition primaire</t>
  </si>
  <si>
    <t>Total après répartition secondaire</t>
  </si>
  <si>
    <t>Nombre d'UO</t>
  </si>
  <si>
    <t>Cout d'UO</t>
  </si>
  <si>
    <t>Entretien (X)</t>
  </si>
  <si>
    <t>Transport (Y)</t>
  </si>
  <si>
    <t>Centre montage</t>
  </si>
  <si>
    <t>Centre finition</t>
  </si>
  <si>
    <t>Administration et financement</t>
  </si>
  <si>
    <t>Répartition secondaire : entretien</t>
  </si>
  <si>
    <t>Répartition secondaire : transport</t>
  </si>
  <si>
    <t>UO ou assiettes de frais</t>
  </si>
  <si>
    <t>X = 40 000 + 0,1Y</t>
  </si>
  <si>
    <t>Y = 60 000 + 0,2X</t>
  </si>
  <si>
    <t>100 mètres</t>
  </si>
  <si>
    <t>1h de main d'œuvre directe</t>
  </si>
  <si>
    <t>1 marinière finie</t>
  </si>
  <si>
    <t>100€ de vente</t>
  </si>
  <si>
    <t>100€ de coût de production des marinières vendues</t>
  </si>
  <si>
    <t>/!\ On ne connait pas I9 au début</t>
  </si>
  <si>
    <t>Tableau de répartition des charges indirectes</t>
  </si>
  <si>
    <t>Coût d'achat du tissu</t>
  </si>
  <si>
    <t>Eléments</t>
  </si>
  <si>
    <t>Quantités</t>
  </si>
  <si>
    <t>Coût unitaire</t>
  </si>
  <si>
    <t>Montants</t>
  </si>
  <si>
    <t>Prix d'achat du tissu</t>
  </si>
  <si>
    <t>Centre approvisionnement</t>
  </si>
  <si>
    <t>Coût d'achat</t>
  </si>
  <si>
    <t>Fiche de stock du tissu</t>
  </si>
  <si>
    <t>Libellés</t>
  </si>
  <si>
    <t>Stock initial</t>
  </si>
  <si>
    <t>Totaux</t>
  </si>
  <si>
    <t>CMUP =</t>
  </si>
  <si>
    <t>Sorties</t>
  </si>
  <si>
    <t>Stock finaux</t>
  </si>
  <si>
    <t>Prix d'achat = charges directes</t>
  </si>
  <si>
    <t>Charges indirectes liées au centre d'approvisionnement</t>
  </si>
  <si>
    <t>12000 car on a acheté 12000</t>
  </si>
  <si>
    <t>Coût de production des marinières</t>
  </si>
  <si>
    <t>Tissu consommé (sorties)</t>
  </si>
  <si>
    <t>Main d'œuvre directe</t>
  </si>
  <si>
    <t>Centre Montage</t>
  </si>
  <si>
    <t>Coût de production</t>
  </si>
  <si>
    <t>/!\ Consommé donc H31 et non D25 en CU</t>
  </si>
  <si>
    <t>Fiche de stock des marinières</t>
  </si>
  <si>
    <t>CMUP=</t>
  </si>
  <si>
    <t>Coût hors production</t>
  </si>
  <si>
    <t>Centre distribution</t>
  </si>
  <si>
    <t>Centre administration et financement</t>
  </si>
  <si>
    <t>Coût de revient des marinières</t>
  </si>
  <si>
    <t>Coût de production des produits vendus (sorties de stock de marinières)</t>
  </si>
  <si>
    <t>Coût de revient</t>
  </si>
  <si>
    <t>Résultat des marinières</t>
  </si>
  <si>
    <t>Résultat</t>
  </si>
  <si>
    <t>Prix de vente</t>
  </si>
  <si>
    <t>Bénéfice !</t>
  </si>
  <si>
    <t xml:space="preserve">Produit A </t>
  </si>
  <si>
    <t>Produit B</t>
  </si>
  <si>
    <t>CA HT</t>
  </si>
  <si>
    <t>MSCV</t>
  </si>
  <si>
    <t>Coûts variables</t>
  </si>
  <si>
    <t>Seuil de rentabilité en valeur (CA*)</t>
  </si>
  <si>
    <t xml:space="preserve">PV </t>
  </si>
  <si>
    <t>Quantités produits</t>
  </si>
  <si>
    <t>Coûts fixes</t>
  </si>
  <si>
    <t>x12 si exprimé en mois</t>
  </si>
  <si>
    <t>x360 si exprimé en jours</t>
  </si>
  <si>
    <t>Points mort = CA*/CA</t>
  </si>
  <si>
    <t>jours</t>
  </si>
  <si>
    <t>en %</t>
  </si>
  <si>
    <t>marge de sécurité = CA-CA*</t>
  </si>
  <si>
    <t>L'entreprise peut baisser de 18,14% sans faire de perte</t>
  </si>
  <si>
    <t>Calcul des charges fixes</t>
  </si>
  <si>
    <t>3786180 verifs</t>
  </si>
  <si>
    <t>total</t>
  </si>
  <si>
    <t>Amortissement = Charges fixes</t>
  </si>
  <si>
    <t>(produit B meilleur que produit A)</t>
  </si>
  <si>
    <t>doit attendre 295j pour que le produit devienne rentable</t>
  </si>
  <si>
    <t>verif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</si>
</sst>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164" formatCode="#,##0.00\ &quot;€&quot;"/>
    <numFmt numFmtId="165" formatCode="#,##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116"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" xfId="0" applyFont="1" applyBorder="1"/>
    <xf numFmtId="2" fontId="0" fillId="0" borderId="11" xfId="0" applyNumberFormat="1" applyBorder="1" applyAlignment="1">
      <alignment horizontal="center"/>
    </xf>
    <xf numFmtId="0" fontId="5" fillId="0" borderId="12" xfId="0" applyFont="1" applyBorder="1"/>
    <xf numFmtId="2" fontId="0" fillId="0" borderId="14" xfId="4" applyNumberFormat="1" applyFont="1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5" fillId="0" borderId="6" xfId="0" applyFont="1" applyBorder="1"/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4" applyNumberFormat="1" applyFont="1" applyFill="1" applyBorder="1" applyAlignment="1">
      <alignment horizontal="center"/>
    </xf>
    <xf numFmtId="2" fontId="0" fillId="0" borderId="23" xfId="4" applyNumberFormat="1" applyFon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4" fillId="4" borderId="25" xfId="3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5" xfId="0" applyBorder="1" applyAlignment="1">
      <alignment horizontal="center"/>
    </xf>
    <xf numFmtId="2" fontId="7" fillId="6" borderId="16" xfId="1" applyNumberFormat="1" applyFont="1" applyFill="1" applyBorder="1" applyAlignment="1">
      <alignment horizontal="center"/>
    </xf>
    <xf numFmtId="2" fontId="0" fillId="6" borderId="20" xfId="0" applyNumberFormat="1" applyFill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0" fontId="6" fillId="3" borderId="3" xfId="2" applyFont="1" applyBorder="1"/>
    <xf numFmtId="0" fontId="6" fillId="3" borderId="6" xfId="2" applyFont="1" applyBorder="1"/>
    <xf numFmtId="2" fontId="4" fillId="6" borderId="25" xfId="3" applyNumberFormat="1" applyFill="1" applyBorder="1" applyAlignment="1">
      <alignment horizontal="center"/>
    </xf>
    <xf numFmtId="2" fontId="5" fillId="0" borderId="13" xfId="0" applyNumberFormat="1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9" fillId="0" borderId="0" xfId="0" applyFont="1"/>
    <xf numFmtId="2" fontId="8" fillId="7" borderId="22" xfId="0" applyNumberFormat="1" applyFont="1" applyFill="1" applyBorder="1" applyAlignment="1">
      <alignment horizontal="center"/>
    </xf>
    <xf numFmtId="2" fontId="8" fillId="7" borderId="14" xfId="2" applyNumberFormat="1" applyFont="1" applyFill="1" applyBorder="1" applyAlignment="1">
      <alignment horizontal="center"/>
    </xf>
    <xf numFmtId="2" fontId="8" fillId="0" borderId="2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2" fontId="5" fillId="0" borderId="22" xfId="0" applyNumberFormat="1" applyFont="1" applyBorder="1" applyAlignment="1">
      <alignment horizontal="center" vertical="center" wrapText="1"/>
    </xf>
    <xf numFmtId="2" fontId="5" fillId="0" borderId="28" xfId="0" applyNumberFormat="1" applyFont="1" applyBorder="1" applyAlignment="1">
      <alignment horizontal="center" vertical="center" wrapText="1"/>
    </xf>
    <xf numFmtId="2" fontId="4" fillId="4" borderId="32" xfId="3" applyNumberFormat="1" applyBorder="1" applyAlignment="1">
      <alignment horizontal="center"/>
    </xf>
    <xf numFmtId="2" fontId="4" fillId="4" borderId="1" xfId="3" applyNumberFormat="1" applyBorder="1" applyAlignment="1">
      <alignment horizontal="center"/>
    </xf>
    <xf numFmtId="0" fontId="5" fillId="0" borderId="0" xfId="0" applyFont="1"/>
    <xf numFmtId="0" fontId="0" fillId="0" borderId="14" xfId="0" applyBorder="1"/>
    <xf numFmtId="0" fontId="5" fillId="0" borderId="14" xfId="0" applyFont="1" applyBorder="1"/>
    <xf numFmtId="0" fontId="0" fillId="0" borderId="14" xfId="0" applyBorder="1" applyAlignment="1">
      <alignment horizontal="center"/>
    </xf>
    <xf numFmtId="8" fontId="0" fillId="0" borderId="14" xfId="0" applyNumberFormat="1" applyBorder="1" applyAlignment="1">
      <alignment horizontal="center"/>
    </xf>
    <xf numFmtId="0" fontId="0" fillId="8" borderId="34" xfId="0" applyFill="1" applyBorder="1"/>
    <xf numFmtId="8" fontId="0" fillId="8" borderId="11" xfId="0" applyNumberFormat="1" applyFill="1" applyBorder="1" applyAlignment="1">
      <alignment horizontal="center"/>
    </xf>
    <xf numFmtId="8" fontId="0" fillId="8" borderId="21" xfId="0" applyNumberFormat="1" applyFill="1" applyBorder="1" applyAlignment="1">
      <alignment horizontal="center"/>
    </xf>
    <xf numFmtId="0" fontId="0" fillId="8" borderId="27" xfId="0" applyFill="1" applyBorder="1"/>
    <xf numFmtId="2" fontId="0" fillId="8" borderId="14" xfId="0" applyNumberFormat="1" applyFill="1" applyBorder="1" applyAlignment="1">
      <alignment horizontal="center"/>
    </xf>
    <xf numFmtId="0" fontId="5" fillId="8" borderId="33" xfId="0" applyFont="1" applyFill="1" applyBorder="1"/>
    <xf numFmtId="0" fontId="0" fillId="10" borderId="34" xfId="0" applyFill="1" applyBorder="1" applyAlignment="1">
      <alignment horizontal="center"/>
    </xf>
    <xf numFmtId="8" fontId="0" fillId="10" borderId="11" xfId="0" applyNumberFormat="1" applyFill="1" applyBorder="1" applyAlignment="1">
      <alignment horizontal="center"/>
    </xf>
    <xf numFmtId="8" fontId="0" fillId="10" borderId="21" xfId="0" applyNumberFormat="1" applyFill="1" applyBorder="1" applyAlignment="1">
      <alignment horizontal="center"/>
    </xf>
    <xf numFmtId="0" fontId="0" fillId="10" borderId="27" xfId="0" applyFill="1" applyBorder="1" applyAlignment="1">
      <alignment horizontal="center"/>
    </xf>
    <xf numFmtId="2" fontId="0" fillId="10" borderId="14" xfId="0" applyNumberFormat="1" applyFill="1" applyBorder="1" applyAlignment="1">
      <alignment horizontal="center"/>
    </xf>
    <xf numFmtId="0" fontId="5" fillId="10" borderId="33" xfId="0" applyFont="1" applyFill="1" applyBorder="1" applyAlignment="1">
      <alignment horizontal="center"/>
    </xf>
    <xf numFmtId="164" fontId="10" fillId="8" borderId="26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2" fontId="0" fillId="10" borderId="26" xfId="0" applyNumberFormat="1" applyFill="1" applyBorder="1" applyAlignment="1">
      <alignment horizontal="center"/>
    </xf>
    <xf numFmtId="7" fontId="0" fillId="9" borderId="14" xfId="0" applyNumberForma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5" fillId="8" borderId="16" xfId="0" applyFont="1" applyFill="1" applyBorder="1"/>
    <xf numFmtId="0" fontId="5" fillId="8" borderId="18" xfId="0" applyFont="1" applyFill="1" applyBorder="1" applyAlignment="1">
      <alignment horizontal="center"/>
    </xf>
    <xf numFmtId="0" fontId="5" fillId="8" borderId="35" xfId="0" applyFont="1" applyFill="1" applyBorder="1" applyAlignment="1">
      <alignment horizontal="center"/>
    </xf>
    <xf numFmtId="0" fontId="5" fillId="8" borderId="36" xfId="0" applyFont="1" applyFill="1" applyBorder="1" applyAlignment="1">
      <alignment horizontal="center"/>
    </xf>
    <xf numFmtId="0" fontId="5" fillId="10" borderId="16" xfId="0" applyFont="1" applyFill="1" applyBorder="1" applyAlignment="1">
      <alignment horizontal="center"/>
    </xf>
    <xf numFmtId="0" fontId="5" fillId="10" borderId="18" xfId="0" applyFont="1" applyFill="1" applyBorder="1" applyAlignment="1">
      <alignment horizontal="center"/>
    </xf>
    <xf numFmtId="0" fontId="5" fillId="10" borderId="35" xfId="0" applyFont="1" applyFill="1" applyBorder="1" applyAlignment="1">
      <alignment horizontal="center"/>
    </xf>
    <xf numFmtId="0" fontId="5" fillId="10" borderId="36" xfId="0" applyFont="1" applyFill="1" applyBorder="1" applyAlignment="1">
      <alignment horizontal="center"/>
    </xf>
    <xf numFmtId="0" fontId="0" fillId="10" borderId="13" xfId="0" applyNumberFormat="1" applyFill="1" applyBorder="1" applyAlignment="1">
      <alignment horizontal="center"/>
    </xf>
    <xf numFmtId="0" fontId="0" fillId="10" borderId="7" xfId="0" applyNumberFormat="1" applyFill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9" borderId="14" xfId="0" applyNumberFormat="1" applyFill="1" applyBorder="1" applyAlignment="1">
      <alignment horizontal="center"/>
    </xf>
    <xf numFmtId="0" fontId="0" fillId="0" borderId="0" xfId="0" applyNumberFormat="1"/>
    <xf numFmtId="0" fontId="0" fillId="8" borderId="10" xfId="0" applyNumberFormat="1" applyFill="1" applyBorder="1" applyAlignment="1">
      <alignment horizontal="center"/>
    </xf>
    <xf numFmtId="0" fontId="0" fillId="8" borderId="13" xfId="0" applyNumberFormat="1" applyFill="1" applyBorder="1" applyAlignment="1">
      <alignment horizontal="center"/>
    </xf>
    <xf numFmtId="0" fontId="0" fillId="8" borderId="7" xfId="0" applyNumberFormat="1" applyFill="1" applyBorder="1" applyAlignment="1">
      <alignment horizontal="center"/>
    </xf>
    <xf numFmtId="0" fontId="0" fillId="0" borderId="14" xfId="0" applyFill="1" applyBorder="1"/>
    <xf numFmtId="0" fontId="5" fillId="0" borderId="14" xfId="0" applyFont="1" applyFill="1" applyBorder="1"/>
    <xf numFmtId="8" fontId="0" fillId="9" borderId="14" xfId="0" applyNumberFormat="1" applyFill="1" applyBorder="1" applyAlignment="1">
      <alignment horizontal="center"/>
    </xf>
    <xf numFmtId="0" fontId="0" fillId="0" borderId="14" xfId="0" applyBorder="1" applyAlignment="1">
      <alignment wrapText="1"/>
    </xf>
    <xf numFmtId="0" fontId="0" fillId="8" borderId="29" xfId="0" applyNumberFormat="1" applyFill="1" applyBorder="1" applyAlignment="1">
      <alignment horizontal="center"/>
    </xf>
    <xf numFmtId="8" fontId="0" fillId="8" borderId="30" xfId="0" applyNumberFormat="1" applyFill="1" applyBorder="1" applyAlignment="1">
      <alignment horizontal="center"/>
    </xf>
    <xf numFmtId="8" fontId="0" fillId="8" borderId="31" xfId="0" applyNumberFormat="1" applyFill="1" applyBorder="1" applyAlignment="1">
      <alignment horizontal="center"/>
    </xf>
    <xf numFmtId="0" fontId="0" fillId="8" borderId="22" xfId="0" applyNumberFormat="1" applyFill="1" applyBorder="1" applyAlignment="1">
      <alignment horizontal="center"/>
    </xf>
    <xf numFmtId="0" fontId="0" fillId="8" borderId="19" xfId="0" applyNumberFormat="1" applyFill="1" applyBorder="1" applyAlignment="1">
      <alignment horizontal="center"/>
    </xf>
    <xf numFmtId="8" fontId="0" fillId="8" borderId="37" xfId="0" applyNumberFormat="1" applyFill="1" applyBorder="1" applyAlignment="1">
      <alignment horizontal="center"/>
    </xf>
    <xf numFmtId="0" fontId="0" fillId="10" borderId="29" xfId="0" applyNumberFormat="1" applyFill="1" applyBorder="1" applyAlignment="1">
      <alignment horizontal="center"/>
    </xf>
    <xf numFmtId="8" fontId="0" fillId="10" borderId="30" xfId="0" applyNumberFormat="1" applyFill="1" applyBorder="1" applyAlignment="1">
      <alignment horizontal="center"/>
    </xf>
    <xf numFmtId="8" fontId="0" fillId="10" borderId="31" xfId="0" applyNumberFormat="1" applyFill="1" applyBorder="1" applyAlignment="1">
      <alignment horizontal="center"/>
    </xf>
    <xf numFmtId="0" fontId="0" fillId="10" borderId="22" xfId="0" applyNumberFormat="1" applyFill="1" applyBorder="1" applyAlignment="1">
      <alignment horizontal="center"/>
    </xf>
    <xf numFmtId="0" fontId="0" fillId="10" borderId="19" xfId="0" applyNumberFormat="1" applyFill="1" applyBorder="1" applyAlignment="1">
      <alignment horizontal="center"/>
    </xf>
    <xf numFmtId="8" fontId="0" fillId="10" borderId="37" xfId="0" applyNumberForma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 vertical="top"/>
    </xf>
    <xf numFmtId="1" fontId="0" fillId="0" borderId="14" xfId="0" applyNumberFormat="1" applyBorder="1" applyAlignment="1">
      <alignment horizontal="center"/>
    </xf>
    <xf numFmtId="1" fontId="0" fillId="9" borderId="14" xfId="0" applyNumberFormat="1" applyFill="1" applyBorder="1" applyAlignment="1">
      <alignment horizontal="center"/>
    </xf>
    <xf numFmtId="164" fontId="10" fillId="9" borderId="26" xfId="0" applyNumberFormat="1" applyFont="1" applyFill="1" applyBorder="1" applyAlignment="1">
      <alignment horizontal="center"/>
    </xf>
    <xf numFmtId="8" fontId="10" fillId="9" borderId="14" xfId="0" applyNumberFormat="1" applyFont="1" applyFill="1" applyBorder="1" applyAlignment="1">
      <alignment horizontal="center"/>
    </xf>
    <xf numFmtId="0" fontId="11" fillId="0" borderId="0" xfId="0" applyFont="1"/>
    <xf numFmtId="0" fontId="0" fillId="9" borderId="0" xfId="0" applyFill="1"/>
    <xf numFmtId="10" fontId="0" fillId="0" borderId="0" xfId="0" applyNumberFormat="1"/>
    <xf numFmtId="165" fontId="0" fillId="0" borderId="0" xfId="0" applyNumberFormat="1"/>
    <xf numFmtId="6" fontId="0" fillId="0" borderId="14" xfId="0" applyNumberFormat="1" applyBorder="1"/>
    <xf numFmtId="1" fontId="0" fillId="0" borderId="14" xfId="0" applyNumberFormat="1" applyBorder="1"/>
    <xf numFmtId="1" fontId="0" fillId="0" borderId="0" xfId="0" applyNumberFormat="1"/>
    <xf numFmtId="0" fontId="0" fillId="0" borderId="0" xfId="0" quotePrefix="1" applyAlignment="1">
      <alignment horizontal="right"/>
    </xf>
  </cellXfs>
  <cellStyles count="5">
    <cellStyle name="Calculation" xfId="3" builtinId="22"/>
    <cellStyle name="Good" xfId="1" builtinId="26"/>
    <cellStyle name="Neutral" xfId="2" builtinId="28"/>
    <cellStyle name="Normal" xfId="0" builtinId="0"/>
    <cellStyle name="Note" xfId="4" builtinId="1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colors>
    <mruColors>
      <color rgb="FFFF99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85"/>
  <sheetViews>
    <sheetView topLeftCell="A67" workbookViewId="0">
      <selection activeCell="E74" sqref="E74"/>
    </sheetView>
  </sheetViews>
  <sheetFormatPr defaultRowHeight="15" x14ac:dyDescent="0.25"/>
  <cols>
    <col min="2" max="2" width="31.85546875" customWidth="1"/>
    <col min="3" max="4" width="15.5703125" customWidth="1"/>
    <col min="5" max="5" width="21.7109375" customWidth="1"/>
    <col min="6" max="6" width="23" customWidth="1"/>
    <col min="7" max="7" width="22.28515625" customWidth="1"/>
    <col min="8" max="8" width="20.85546875" customWidth="1"/>
    <col min="9" max="9" width="29.5703125" customWidth="1"/>
    <col min="10" max="10" width="9.28515625" customWidth="1"/>
  </cols>
  <sheetData>
    <row r="2" spans="2:11" ht="21" x14ac:dyDescent="0.35">
      <c r="B2" s="33" t="s">
        <v>25</v>
      </c>
      <c r="C2" s="33"/>
      <c r="D2" s="33"/>
      <c r="E2" s="33"/>
    </row>
    <row r="3" spans="2:11" ht="15.75" thickBot="1" x14ac:dyDescent="0.3"/>
    <row r="4" spans="2:11" x14ac:dyDescent="0.25">
      <c r="B4" s="1" t="s">
        <v>0</v>
      </c>
      <c r="C4" s="13" t="s">
        <v>1</v>
      </c>
      <c r="D4" s="2"/>
      <c r="E4" s="3"/>
      <c r="F4" s="2" t="s">
        <v>2</v>
      </c>
      <c r="G4" s="2"/>
      <c r="H4" s="2"/>
      <c r="I4" s="3"/>
    </row>
    <row r="5" spans="2:11" ht="15.75" thickBot="1" x14ac:dyDescent="0.3">
      <c r="B5" s="4"/>
      <c r="C5" s="14" t="s">
        <v>9</v>
      </c>
      <c r="D5" s="32" t="s">
        <v>10</v>
      </c>
      <c r="E5" s="6" t="s">
        <v>3</v>
      </c>
      <c r="F5" s="5" t="s">
        <v>11</v>
      </c>
      <c r="G5" s="5" t="s">
        <v>12</v>
      </c>
      <c r="H5" s="5" t="s">
        <v>4</v>
      </c>
      <c r="I5" s="6" t="s">
        <v>13</v>
      </c>
    </row>
    <row r="6" spans="2:11" x14ac:dyDescent="0.25">
      <c r="B6" s="7" t="s">
        <v>5</v>
      </c>
      <c r="C6" s="15">
        <v>40000</v>
      </c>
      <c r="D6" s="8">
        <v>60000</v>
      </c>
      <c r="E6" s="16">
        <v>20000</v>
      </c>
      <c r="F6" s="38">
        <v>80000</v>
      </c>
      <c r="G6" s="39">
        <v>30000</v>
      </c>
      <c r="H6" s="39">
        <v>95000</v>
      </c>
      <c r="I6" s="40">
        <v>11000</v>
      </c>
    </row>
    <row r="7" spans="2:11" x14ac:dyDescent="0.25">
      <c r="B7" s="9" t="s">
        <v>14</v>
      </c>
      <c r="C7" s="17"/>
      <c r="D7" s="10">
        <f>C9*0.2</f>
        <v>9387.7551020408173</v>
      </c>
      <c r="E7" s="18">
        <f>C9*0.05</f>
        <v>2346.9387755102043</v>
      </c>
      <c r="F7" s="17">
        <f>C9*0.2</f>
        <v>9387.7551020408173</v>
      </c>
      <c r="G7" s="10">
        <f>C9*0.2</f>
        <v>9387.7551020408173</v>
      </c>
      <c r="H7" s="10">
        <f>C9*0.15</f>
        <v>7040.8163265306121</v>
      </c>
      <c r="I7" s="18">
        <f>C9*0.2</f>
        <v>9387.7551020408173</v>
      </c>
    </row>
    <row r="8" spans="2:11" x14ac:dyDescent="0.25">
      <c r="B8" s="9" t="s">
        <v>15</v>
      </c>
      <c r="C8" s="17">
        <f>D9*0.1</f>
        <v>6938.7755102040819</v>
      </c>
      <c r="D8" s="10"/>
      <c r="E8" s="18">
        <f>D9*0.1</f>
        <v>6938.7755102040819</v>
      </c>
      <c r="F8" s="17">
        <f>D9*0.05</f>
        <v>3469.387755102041</v>
      </c>
      <c r="G8" s="10">
        <f>D9*0.05</f>
        <v>3469.387755102041</v>
      </c>
      <c r="H8" s="10">
        <f>D9*0.5</f>
        <v>34693.877551020407</v>
      </c>
      <c r="I8" s="18">
        <f>D9*0.5</f>
        <v>34693.877551020407</v>
      </c>
    </row>
    <row r="9" spans="2:11" x14ac:dyDescent="0.25">
      <c r="B9" s="9" t="s">
        <v>6</v>
      </c>
      <c r="C9" s="34">
        <f>(40000+0.1*60000)/0.98</f>
        <v>46938.775510204083</v>
      </c>
      <c r="D9" s="35">
        <f>60000+0.2*C9</f>
        <v>69387.755102040814</v>
      </c>
      <c r="E9" s="31">
        <f>SUM(E6:E8)</f>
        <v>29285.714285714286</v>
      </c>
      <c r="F9" s="36">
        <f t="shared" ref="F9:I9" si="0">SUM(F6:F8)</f>
        <v>92857.142857142855</v>
      </c>
      <c r="G9" s="37">
        <f t="shared" si="0"/>
        <v>42857.142857142855</v>
      </c>
      <c r="H9" s="37">
        <f t="shared" si="0"/>
        <v>136734.69387755101</v>
      </c>
      <c r="I9" s="41">
        <f t="shared" si="0"/>
        <v>55081.632653061228</v>
      </c>
    </row>
    <row r="10" spans="2:11" ht="28.5" customHeight="1" x14ac:dyDescent="0.25">
      <c r="B10" s="9" t="s">
        <v>16</v>
      </c>
      <c r="C10" s="24"/>
      <c r="D10" s="25"/>
      <c r="E10" s="30" t="s">
        <v>19</v>
      </c>
      <c r="F10" s="42" t="s">
        <v>20</v>
      </c>
      <c r="G10" s="29" t="s">
        <v>21</v>
      </c>
      <c r="H10" s="29" t="s">
        <v>22</v>
      </c>
      <c r="I10" s="43" t="s">
        <v>23</v>
      </c>
    </row>
    <row r="11" spans="2:11" ht="15.75" thickBot="1" x14ac:dyDescent="0.3">
      <c r="B11" s="9" t="s">
        <v>7</v>
      </c>
      <c r="C11" s="19"/>
      <c r="D11" s="11"/>
      <c r="E11" s="28">
        <v>120</v>
      </c>
      <c r="F11" s="44">
        <v>4000</v>
      </c>
      <c r="G11" s="45">
        <v>5700</v>
      </c>
      <c r="H11" s="45">
        <f>6000*170/100</f>
        <v>10200</v>
      </c>
      <c r="I11" s="20">
        <f>C64</f>
        <v>7390.5545805545808</v>
      </c>
      <c r="K11" t="s">
        <v>24</v>
      </c>
    </row>
    <row r="12" spans="2:11" ht="16.5" thickBot="1" x14ac:dyDescent="0.3">
      <c r="B12" s="12" t="s">
        <v>8</v>
      </c>
      <c r="C12" s="21"/>
      <c r="D12" s="22"/>
      <c r="E12" s="23">
        <f>E9/E11</f>
        <v>244.04761904761907</v>
      </c>
      <c r="F12" s="23">
        <f t="shared" ref="F12:I12" si="1">F9/F11</f>
        <v>23.214285714285715</v>
      </c>
      <c r="G12" s="23">
        <f t="shared" si="1"/>
        <v>7.518796992481203</v>
      </c>
      <c r="H12" s="23">
        <f t="shared" si="1"/>
        <v>13.405362144857941</v>
      </c>
      <c r="I12" s="23">
        <v>18.03</v>
      </c>
    </row>
    <row r="14" spans="2:11" ht="15.75" thickBot="1" x14ac:dyDescent="0.3"/>
    <row r="15" spans="2:11" x14ac:dyDescent="0.25">
      <c r="B15" s="26" t="s">
        <v>17</v>
      </c>
    </row>
    <row r="16" spans="2:11" ht="15.75" thickBot="1" x14ac:dyDescent="0.3">
      <c r="B16" s="27" t="s">
        <v>18</v>
      </c>
    </row>
    <row r="20" spans="2:9" ht="21" x14ac:dyDescent="0.35">
      <c r="B20" s="33" t="s">
        <v>26</v>
      </c>
      <c r="C20" s="33"/>
      <c r="D20" s="33"/>
      <c r="E20" s="33"/>
    </row>
    <row r="22" spans="2:9" x14ac:dyDescent="0.25">
      <c r="B22" s="48" t="s">
        <v>27</v>
      </c>
      <c r="C22" s="68" t="s">
        <v>28</v>
      </c>
      <c r="D22" s="68" t="s">
        <v>29</v>
      </c>
      <c r="E22" s="68" t="s">
        <v>30</v>
      </c>
    </row>
    <row r="23" spans="2:9" x14ac:dyDescent="0.25">
      <c r="B23" s="47" t="s">
        <v>31</v>
      </c>
      <c r="C23" s="80">
        <v>12000</v>
      </c>
      <c r="D23" s="50">
        <v>27.68</v>
      </c>
      <c r="E23" s="50">
        <f>C23*D23</f>
        <v>332160</v>
      </c>
      <c r="G23" t="s">
        <v>41</v>
      </c>
    </row>
    <row r="24" spans="2:9" x14ac:dyDescent="0.25">
      <c r="B24" s="47" t="s">
        <v>32</v>
      </c>
      <c r="C24" s="80">
        <v>120</v>
      </c>
      <c r="D24" s="11">
        <f>E12</f>
        <v>244.04761904761907</v>
      </c>
      <c r="E24" s="50">
        <f>C24*D24</f>
        <v>29285.714285714286</v>
      </c>
      <c r="G24" t="s">
        <v>42</v>
      </c>
    </row>
    <row r="25" spans="2:9" x14ac:dyDescent="0.25">
      <c r="B25" s="48" t="s">
        <v>33</v>
      </c>
      <c r="C25" s="81">
        <f>C23</f>
        <v>12000</v>
      </c>
      <c r="D25" s="67">
        <f>E25/C25</f>
        <v>30.12047619047619</v>
      </c>
      <c r="E25" s="67">
        <f t="shared" ref="D25:E25" si="2">SUM(E23:E24)</f>
        <v>361445.71428571426</v>
      </c>
      <c r="G25" t="s">
        <v>43</v>
      </c>
    </row>
    <row r="26" spans="2:9" x14ac:dyDescent="0.25">
      <c r="C26" s="82"/>
    </row>
    <row r="27" spans="2:9" x14ac:dyDescent="0.25">
      <c r="C27" s="82"/>
    </row>
    <row r="28" spans="2:9" ht="21" x14ac:dyDescent="0.35">
      <c r="B28" s="33" t="s">
        <v>34</v>
      </c>
      <c r="C28" s="33"/>
      <c r="D28" s="33"/>
      <c r="E28" s="33"/>
    </row>
    <row r="29" spans="2:9" ht="15.75" thickBot="1" x14ac:dyDescent="0.3"/>
    <row r="30" spans="2:9" s="46" customFormat="1" ht="15.75" thickBot="1" x14ac:dyDescent="0.3">
      <c r="B30" s="70" t="s">
        <v>35</v>
      </c>
      <c r="C30" s="71" t="s">
        <v>28</v>
      </c>
      <c r="D30" s="72" t="s">
        <v>29</v>
      </c>
      <c r="E30" s="73" t="s">
        <v>30</v>
      </c>
      <c r="F30" s="74" t="s">
        <v>35</v>
      </c>
      <c r="G30" s="75" t="s">
        <v>28</v>
      </c>
      <c r="H30" s="76" t="s">
        <v>29</v>
      </c>
      <c r="I30" s="77" t="s">
        <v>30</v>
      </c>
    </row>
    <row r="31" spans="2:9" x14ac:dyDescent="0.25">
      <c r="B31" s="51" t="s">
        <v>36</v>
      </c>
      <c r="C31" s="83">
        <v>2800</v>
      </c>
      <c r="D31" s="52">
        <v>28.6</v>
      </c>
      <c r="E31" s="53">
        <f>C31*D31</f>
        <v>80080</v>
      </c>
      <c r="F31" s="57" t="s">
        <v>39</v>
      </c>
      <c r="G31" s="78">
        <v>10260</v>
      </c>
      <c r="H31" s="58">
        <f>D33</f>
        <v>29.832818532818532</v>
      </c>
      <c r="I31" s="59">
        <f>G31*H31</f>
        <v>306084.71814671817</v>
      </c>
    </row>
    <row r="32" spans="2:9" x14ac:dyDescent="0.25">
      <c r="B32" s="54" t="s">
        <v>33</v>
      </c>
      <c r="C32" s="84">
        <f>C25</f>
        <v>12000</v>
      </c>
      <c r="D32" s="55">
        <f>D25</f>
        <v>30.12047619047619</v>
      </c>
      <c r="E32" s="53">
        <f>C32*D32</f>
        <v>361445.71428571426</v>
      </c>
      <c r="F32" s="60" t="s">
        <v>40</v>
      </c>
      <c r="G32" s="78">
        <f>C33-G31</f>
        <v>4540</v>
      </c>
      <c r="H32" s="61">
        <f>D33</f>
        <v>29.832818532818532</v>
      </c>
      <c r="I32" s="59">
        <f t="shared" ref="I32:I33" si="3">G32*H32</f>
        <v>135440.99613899612</v>
      </c>
    </row>
    <row r="33" spans="2:9" ht="15.75" thickBot="1" x14ac:dyDescent="0.3">
      <c r="B33" s="56" t="s">
        <v>37</v>
      </c>
      <c r="C33" s="85">
        <f>SUM(C31:C32)</f>
        <v>14800</v>
      </c>
      <c r="D33" s="63">
        <f>(E31+E32)/(C31+C32)</f>
        <v>29.832818532818532</v>
      </c>
      <c r="E33" s="53">
        <f>C33*D33</f>
        <v>441525.71428571426</v>
      </c>
      <c r="F33" s="62" t="s">
        <v>37</v>
      </c>
      <c r="G33" s="79">
        <f>SUM(G31:G32)</f>
        <v>14800</v>
      </c>
      <c r="H33" s="66">
        <f>H32</f>
        <v>29.832818532818532</v>
      </c>
      <c r="I33" s="59">
        <f t="shared" si="3"/>
        <v>441525.71428571426</v>
      </c>
    </row>
    <row r="35" spans="2:9" x14ac:dyDescent="0.25">
      <c r="C35" s="64" t="s">
        <v>38</v>
      </c>
      <c r="D35" s="65">
        <f>(E31+E32)/(C31+C32)</f>
        <v>29.832818532818532</v>
      </c>
    </row>
    <row r="38" spans="2:9" ht="21" x14ac:dyDescent="0.35">
      <c r="B38" s="33" t="s">
        <v>44</v>
      </c>
      <c r="C38" s="33"/>
      <c r="D38" s="33"/>
      <c r="E38" s="33"/>
    </row>
    <row r="40" spans="2:9" x14ac:dyDescent="0.25">
      <c r="B40" s="48" t="s">
        <v>27</v>
      </c>
      <c r="C40" s="68" t="s">
        <v>28</v>
      </c>
      <c r="D40" s="68" t="s">
        <v>29</v>
      </c>
      <c r="E40" s="68" t="s">
        <v>30</v>
      </c>
    </row>
    <row r="41" spans="2:9" x14ac:dyDescent="0.25">
      <c r="B41" s="47" t="s">
        <v>45</v>
      </c>
      <c r="C41" s="80">
        <v>10260</v>
      </c>
      <c r="D41" s="50">
        <f>H31</f>
        <v>29.832818532818532</v>
      </c>
      <c r="E41" s="50">
        <f>C41*D41</f>
        <v>306084.71814671817</v>
      </c>
      <c r="F41" t="s">
        <v>49</v>
      </c>
    </row>
    <row r="42" spans="2:9" x14ac:dyDescent="0.25">
      <c r="B42" s="47" t="s">
        <v>46</v>
      </c>
      <c r="C42" s="80">
        <v>4000</v>
      </c>
      <c r="D42" s="11">
        <v>66</v>
      </c>
      <c r="E42" s="50">
        <f>C42*D42</f>
        <v>264000</v>
      </c>
    </row>
    <row r="43" spans="2:9" x14ac:dyDescent="0.25">
      <c r="B43" s="86" t="s">
        <v>47</v>
      </c>
      <c r="C43" s="49">
        <v>4000</v>
      </c>
      <c r="D43" s="11">
        <f>F12</f>
        <v>23.214285714285715</v>
      </c>
      <c r="E43" s="50">
        <f t="shared" ref="E43:E45" si="4">C43*D43</f>
        <v>92857.142857142855</v>
      </c>
    </row>
    <row r="44" spans="2:9" x14ac:dyDescent="0.25">
      <c r="B44" s="86" t="s">
        <v>12</v>
      </c>
      <c r="C44" s="49">
        <v>5700</v>
      </c>
      <c r="D44" s="11">
        <f>G12</f>
        <v>7.518796992481203</v>
      </c>
      <c r="E44" s="50">
        <f t="shared" si="4"/>
        <v>42857.142857142855</v>
      </c>
    </row>
    <row r="45" spans="2:9" x14ac:dyDescent="0.25">
      <c r="B45" s="87" t="s">
        <v>48</v>
      </c>
      <c r="C45" s="69">
        <v>5700</v>
      </c>
      <c r="D45" s="88">
        <f>E45/C45</f>
        <v>123.82438664228137</v>
      </c>
      <c r="E45" s="88">
        <f>SUM(E41:E44)</f>
        <v>705799.00386100379</v>
      </c>
    </row>
    <row r="49" spans="2:9" ht="21" x14ac:dyDescent="0.35">
      <c r="B49" s="33" t="s">
        <v>50</v>
      </c>
      <c r="C49" s="33"/>
      <c r="D49" s="33"/>
      <c r="E49" s="33"/>
    </row>
    <row r="50" spans="2:9" ht="15.75" thickBot="1" x14ac:dyDescent="0.3"/>
    <row r="51" spans="2:9" ht="15.75" thickBot="1" x14ac:dyDescent="0.3">
      <c r="B51" s="70" t="s">
        <v>35</v>
      </c>
      <c r="C51" s="71" t="s">
        <v>28</v>
      </c>
      <c r="D51" s="72" t="s">
        <v>29</v>
      </c>
      <c r="E51" s="73" t="s">
        <v>30</v>
      </c>
      <c r="F51" s="74" t="s">
        <v>35</v>
      </c>
      <c r="G51" s="75" t="s">
        <v>28</v>
      </c>
      <c r="H51" s="76" t="s">
        <v>29</v>
      </c>
      <c r="I51" s="77" t="s">
        <v>30</v>
      </c>
    </row>
    <row r="52" spans="2:9" x14ac:dyDescent="0.25">
      <c r="B52" s="51" t="s">
        <v>36</v>
      </c>
      <c r="C52" s="90">
        <v>900</v>
      </c>
      <c r="D52" s="91">
        <f>E52/C52</f>
        <v>119.06888888888889</v>
      </c>
      <c r="E52" s="92">
        <v>107162</v>
      </c>
      <c r="F52" s="57" t="s">
        <v>39</v>
      </c>
      <c r="G52" s="96">
        <v>6000</v>
      </c>
      <c r="H52" s="97">
        <f>D54</f>
        <v>123.17590967590966</v>
      </c>
      <c r="I52" s="98">
        <f>G52*H52</f>
        <v>739055.45805545803</v>
      </c>
    </row>
    <row r="53" spans="2:9" x14ac:dyDescent="0.25">
      <c r="B53" s="54" t="s">
        <v>33</v>
      </c>
      <c r="C53" s="93">
        <f>C45</f>
        <v>5700</v>
      </c>
      <c r="D53" s="55">
        <f>D45</f>
        <v>123.82438664228137</v>
      </c>
      <c r="E53" s="53">
        <f>C53*D53</f>
        <v>705799.00386100379</v>
      </c>
      <c r="F53" s="60" t="s">
        <v>40</v>
      </c>
      <c r="G53" s="99">
        <f>C54-G52</f>
        <v>600</v>
      </c>
      <c r="H53" s="61">
        <f>D54</f>
        <v>123.17590967590966</v>
      </c>
      <c r="I53" s="59">
        <f t="shared" ref="I53:I54" si="5">G53*H53</f>
        <v>73905.5458055458</v>
      </c>
    </row>
    <row r="54" spans="2:9" ht="15.75" thickBot="1" x14ac:dyDescent="0.3">
      <c r="B54" s="56" t="s">
        <v>37</v>
      </c>
      <c r="C54" s="94">
        <f>SUM(C52:C53)</f>
        <v>6600</v>
      </c>
      <c r="D54" s="106">
        <f>(E52+E53)/(C52+C53)</f>
        <v>123.17590967590966</v>
      </c>
      <c r="E54" s="95">
        <f>C54*D54</f>
        <v>812961.00386100379</v>
      </c>
      <c r="F54" s="62" t="s">
        <v>37</v>
      </c>
      <c r="G54" s="100">
        <f>SUM(G52:G53)</f>
        <v>6600</v>
      </c>
      <c r="H54" s="66">
        <f>H53</f>
        <v>123.17590967590966</v>
      </c>
      <c r="I54" s="101">
        <f t="shared" si="5"/>
        <v>812961.00386100379</v>
      </c>
    </row>
    <row r="56" spans="2:9" x14ac:dyDescent="0.25">
      <c r="C56" s="64" t="s">
        <v>51</v>
      </c>
      <c r="D56">
        <f>(E52+E53)/(C52+C53)</f>
        <v>123.17590967590966</v>
      </c>
    </row>
    <row r="60" spans="2:9" ht="21" x14ac:dyDescent="0.35">
      <c r="B60" s="33" t="s">
        <v>52</v>
      </c>
      <c r="C60" s="33"/>
      <c r="D60" s="33"/>
      <c r="E60" s="33"/>
    </row>
    <row r="62" spans="2:9" x14ac:dyDescent="0.25">
      <c r="B62" s="48" t="s">
        <v>27</v>
      </c>
      <c r="C62" s="68" t="s">
        <v>28</v>
      </c>
      <c r="D62" s="68" t="s">
        <v>29</v>
      </c>
      <c r="E62" s="68" t="s">
        <v>30</v>
      </c>
    </row>
    <row r="63" spans="2:9" x14ac:dyDescent="0.25">
      <c r="B63" s="47" t="s">
        <v>53</v>
      </c>
      <c r="C63" s="11">
        <f>H11</f>
        <v>10200</v>
      </c>
      <c r="D63" s="50">
        <f>H12</f>
        <v>13.405362144857941</v>
      </c>
      <c r="E63" s="50">
        <f>C63*D63</f>
        <v>136734.69387755101</v>
      </c>
    </row>
    <row r="64" spans="2:9" ht="28.5" customHeight="1" x14ac:dyDescent="0.25">
      <c r="B64" s="89" t="s">
        <v>54</v>
      </c>
      <c r="C64" s="104">
        <f>I52/100</f>
        <v>7390.5545805545808</v>
      </c>
      <c r="D64" s="11">
        <v>18.03</v>
      </c>
      <c r="E64" s="50">
        <f>C64*D64</f>
        <v>133251.69908739909</v>
      </c>
      <c r="F64" s="103"/>
      <c r="H64" s="103" t="s">
        <v>23</v>
      </c>
    </row>
    <row r="65" spans="2:5" x14ac:dyDescent="0.25">
      <c r="B65" s="48" t="s">
        <v>52</v>
      </c>
      <c r="C65" s="105"/>
      <c r="D65" s="67"/>
      <c r="E65" s="67">
        <f>SUM(E63:E64)</f>
        <v>269986.39296495006</v>
      </c>
    </row>
    <row r="69" spans="2:5" ht="21" x14ac:dyDescent="0.35">
      <c r="B69" s="33" t="s">
        <v>55</v>
      </c>
      <c r="C69" s="33"/>
      <c r="D69" s="33"/>
      <c r="E69" s="33"/>
    </row>
    <row r="71" spans="2:5" x14ac:dyDescent="0.25">
      <c r="B71" s="48" t="s">
        <v>27</v>
      </c>
      <c r="C71" s="68" t="s">
        <v>28</v>
      </c>
      <c r="D71" s="68" t="s">
        <v>29</v>
      </c>
      <c r="E71" s="68" t="s">
        <v>30</v>
      </c>
    </row>
    <row r="72" spans="2:5" ht="48" customHeight="1" x14ac:dyDescent="0.25">
      <c r="B72" s="89" t="s">
        <v>56</v>
      </c>
      <c r="C72" s="80">
        <v>6000</v>
      </c>
      <c r="D72" s="50">
        <f>D54</f>
        <v>123.17590967590966</v>
      </c>
      <c r="E72" s="50">
        <f>C72*D72</f>
        <v>739055.45805545803</v>
      </c>
    </row>
    <row r="73" spans="2:5" x14ac:dyDescent="0.25">
      <c r="B73" s="89" t="s">
        <v>52</v>
      </c>
      <c r="C73" s="50"/>
      <c r="D73" s="11"/>
      <c r="E73" s="50">
        <f>E65</f>
        <v>269986.39296495006</v>
      </c>
    </row>
    <row r="74" spans="2:5" x14ac:dyDescent="0.25">
      <c r="B74" s="48" t="s">
        <v>57</v>
      </c>
      <c r="C74" s="69">
        <v>6000</v>
      </c>
      <c r="D74" s="88">
        <f>E74/C74</f>
        <v>168.17364183673467</v>
      </c>
      <c r="E74" s="88">
        <f>SUM(E72:E73)</f>
        <v>1009041.8510204081</v>
      </c>
    </row>
    <row r="78" spans="2:5" ht="21" x14ac:dyDescent="0.35">
      <c r="B78" s="33" t="s">
        <v>58</v>
      </c>
      <c r="C78" s="33"/>
      <c r="D78" s="33"/>
      <c r="E78" s="33"/>
    </row>
    <row r="80" spans="2:5" x14ac:dyDescent="0.25">
      <c r="B80" s="48" t="s">
        <v>27</v>
      </c>
      <c r="C80" s="68" t="s">
        <v>28</v>
      </c>
      <c r="D80" s="68" t="s">
        <v>29</v>
      </c>
      <c r="E80" s="68" t="s">
        <v>30</v>
      </c>
    </row>
    <row r="81" spans="2:5" x14ac:dyDescent="0.25">
      <c r="B81" s="89" t="s">
        <v>60</v>
      </c>
      <c r="C81" s="80">
        <v>6000</v>
      </c>
      <c r="D81" s="50">
        <v>170</v>
      </c>
      <c r="E81" s="50">
        <f>C81*D81</f>
        <v>1020000</v>
      </c>
    </row>
    <row r="82" spans="2:5" x14ac:dyDescent="0.25">
      <c r="B82" s="89" t="s">
        <v>57</v>
      </c>
      <c r="C82" s="80">
        <v>6000</v>
      </c>
      <c r="D82" s="11">
        <f>D74</f>
        <v>168.17364183673467</v>
      </c>
      <c r="E82" s="50">
        <f>E74</f>
        <v>1009041.8510204081</v>
      </c>
    </row>
    <row r="83" spans="2:5" x14ac:dyDescent="0.25">
      <c r="B83" s="48" t="s">
        <v>59</v>
      </c>
      <c r="C83" s="47"/>
      <c r="D83" s="107">
        <f>D81-D82</f>
        <v>1.8263581632653256</v>
      </c>
      <c r="E83" s="107">
        <f>E81-E82</f>
        <v>10958.148979591904</v>
      </c>
    </row>
    <row r="85" spans="2:5" ht="18.75" x14ac:dyDescent="0.3">
      <c r="D85" s="108" t="s">
        <v>61</v>
      </c>
    </row>
  </sheetData>
  <mergeCells count="11">
    <mergeCell ref="B69:E69"/>
    <mergeCell ref="B78:E78"/>
    <mergeCell ref="B2:E2"/>
    <mergeCell ref="B20:E20"/>
    <mergeCell ref="B28:E28"/>
    <mergeCell ref="B38:E38"/>
    <mergeCell ref="B49:E49"/>
    <mergeCell ref="B60:E60"/>
    <mergeCell ref="B4:B5"/>
    <mergeCell ref="C4:E4"/>
    <mergeCell ref="F4:I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9"/>
  <sheetViews>
    <sheetView tabSelected="1" workbookViewId="0">
      <selection activeCell="D21" sqref="D21"/>
    </sheetView>
  </sheetViews>
  <sheetFormatPr defaultRowHeight="15" x14ac:dyDescent="0.25"/>
  <cols>
    <col min="2" max="2" width="31.5703125" customWidth="1"/>
    <col min="3" max="3" width="14" customWidth="1"/>
    <col min="4" max="4" width="17.28515625" customWidth="1"/>
    <col min="5" max="5" width="14.7109375" customWidth="1"/>
    <col min="6" max="6" width="20.28515625" customWidth="1"/>
    <col min="8" max="8" width="35.7109375" customWidth="1"/>
    <col min="9" max="9" width="19.5703125" customWidth="1"/>
    <col min="12" max="12" width="17.7109375" customWidth="1"/>
  </cols>
  <sheetData>
    <row r="2" spans="2:14" x14ac:dyDescent="0.25">
      <c r="B2" s="109" t="s">
        <v>62</v>
      </c>
      <c r="H2" s="109" t="s">
        <v>63</v>
      </c>
    </row>
    <row r="4" spans="2:14" x14ac:dyDescent="0.25">
      <c r="H4" t="s">
        <v>78</v>
      </c>
      <c r="I4" s="111">
        <v>50000</v>
      </c>
    </row>
    <row r="5" spans="2:14" x14ac:dyDescent="0.25">
      <c r="I5" s="111">
        <v>400000</v>
      </c>
    </row>
    <row r="6" spans="2:14" x14ac:dyDescent="0.25">
      <c r="H6" t="s">
        <v>80</v>
      </c>
      <c r="I6" s="111">
        <f>SUM(I4:I5)</f>
        <v>450000</v>
      </c>
    </row>
    <row r="7" spans="2:14" x14ac:dyDescent="0.25">
      <c r="N7" t="s">
        <v>81</v>
      </c>
    </row>
    <row r="10" spans="2:14" x14ac:dyDescent="0.25">
      <c r="B10" t="s">
        <v>64</v>
      </c>
      <c r="C10" s="111">
        <v>4625000</v>
      </c>
      <c r="H10" t="s">
        <v>64</v>
      </c>
      <c r="I10" s="111">
        <v>2990000</v>
      </c>
    </row>
    <row r="11" spans="2:14" x14ac:dyDescent="0.25">
      <c r="B11" t="s">
        <v>65</v>
      </c>
      <c r="C11" s="111">
        <v>805000</v>
      </c>
      <c r="D11" s="110">
        <v>0.1741</v>
      </c>
      <c r="H11" t="s">
        <v>65</v>
      </c>
      <c r="I11" s="111">
        <v>590000</v>
      </c>
      <c r="K11" s="110">
        <v>0.1973</v>
      </c>
      <c r="M11" t="s">
        <v>82</v>
      </c>
    </row>
    <row r="12" spans="2:14" x14ac:dyDescent="0.25">
      <c r="B12" t="s">
        <v>66</v>
      </c>
      <c r="C12" s="111">
        <f>C10-C11</f>
        <v>3820000</v>
      </c>
      <c r="H12" t="s">
        <v>66</v>
      </c>
      <c r="I12" s="111">
        <f>I10-I11</f>
        <v>2400000</v>
      </c>
    </row>
    <row r="14" spans="2:14" x14ac:dyDescent="0.25">
      <c r="E14" s="49" t="s">
        <v>68</v>
      </c>
      <c r="F14" s="49" t="s">
        <v>69</v>
      </c>
      <c r="K14" s="49" t="s">
        <v>68</v>
      </c>
      <c r="L14" s="49" t="s">
        <v>69</v>
      </c>
    </row>
    <row r="15" spans="2:14" x14ac:dyDescent="0.25">
      <c r="B15" t="s">
        <v>67</v>
      </c>
      <c r="C15" s="111">
        <v>3786180</v>
      </c>
      <c r="E15" s="112">
        <v>250</v>
      </c>
      <c r="F15" s="113">
        <f>C15/E15</f>
        <v>15144.72</v>
      </c>
      <c r="H15" t="s">
        <v>67</v>
      </c>
      <c r="I15" s="111">
        <v>2280000</v>
      </c>
      <c r="K15" s="112">
        <v>299</v>
      </c>
      <c r="L15" s="113">
        <f>I15/K15</f>
        <v>7625.4180602006691</v>
      </c>
    </row>
    <row r="16" spans="2:14" x14ac:dyDescent="0.25">
      <c r="B16" t="s">
        <v>70</v>
      </c>
      <c r="C16" s="111">
        <v>659000</v>
      </c>
      <c r="D16" s="110">
        <v>0.1741</v>
      </c>
      <c r="H16" t="s">
        <v>70</v>
      </c>
      <c r="I16" s="111">
        <f>I6</f>
        <v>450000</v>
      </c>
      <c r="J16" s="110">
        <v>0.1973</v>
      </c>
    </row>
    <row r="19" spans="2:11" x14ac:dyDescent="0.25">
      <c r="H19" t="s">
        <v>73</v>
      </c>
      <c r="I19" s="114">
        <f>I15/I10*360</f>
        <v>274.5150501672241</v>
      </c>
      <c r="J19" t="s">
        <v>74</v>
      </c>
    </row>
    <row r="22" spans="2:11" x14ac:dyDescent="0.25">
      <c r="B22" t="s">
        <v>73</v>
      </c>
      <c r="C22" s="114">
        <f>C15/C10*360</f>
        <v>294.70806486486487</v>
      </c>
      <c r="D22" t="s">
        <v>74</v>
      </c>
      <c r="E22" t="s">
        <v>83</v>
      </c>
    </row>
    <row r="23" spans="2:11" x14ac:dyDescent="0.25">
      <c r="B23" t="s">
        <v>71</v>
      </c>
    </row>
    <row r="24" spans="2:11" x14ac:dyDescent="0.25">
      <c r="B24" t="s">
        <v>72</v>
      </c>
    </row>
    <row r="27" spans="2:11" x14ac:dyDescent="0.25">
      <c r="B27" t="s">
        <v>76</v>
      </c>
      <c r="C27" s="111">
        <v>838820</v>
      </c>
      <c r="D27" s="115"/>
      <c r="H27" t="s">
        <v>76</v>
      </c>
      <c r="I27" s="111">
        <v>709492</v>
      </c>
    </row>
    <row r="28" spans="2:11" ht="55.5" customHeight="1" x14ac:dyDescent="0.25">
      <c r="B28" t="s">
        <v>75</v>
      </c>
      <c r="C28" s="110">
        <v>0.18140000000000001</v>
      </c>
      <c r="D28" s="110">
        <v>0.81859999999999999</v>
      </c>
      <c r="E28" s="102" t="s">
        <v>77</v>
      </c>
      <c r="H28" t="s">
        <v>75</v>
      </c>
      <c r="I28" s="110">
        <v>0.23730000000000001</v>
      </c>
      <c r="J28" s="110">
        <v>0.76270000000000004</v>
      </c>
    </row>
    <row r="29" spans="2:11" x14ac:dyDescent="0.25">
      <c r="D29" t="s">
        <v>79</v>
      </c>
      <c r="J29">
        <v>2280508</v>
      </c>
      <c r="K29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Exercice 1</vt:lpstr>
      <vt:lpstr>Exercice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3b80437c-0569-494d-92f8-dd8fbb97b101</vt:lpwstr>
  </property>
</Properties>
</file>