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Desktop\ING2\Semestre 2\Contrôle de gestion\"/>
    </mc:Choice>
  </mc:AlternateContent>
  <bookViews>
    <workbookView xWindow="0" yWindow="0" windowWidth="22005" windowHeight="3210" activeTab="1"/>
  </bookViews>
  <sheets>
    <sheet name="Coût complet" sheetId="1" r:id="rId1"/>
    <sheet name="Sujet 2014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0" i="2" l="1"/>
  <c r="F104" i="2"/>
  <c r="F111" i="2"/>
  <c r="F109" i="2"/>
  <c r="F108" i="2"/>
  <c r="F103" i="2"/>
  <c r="E102" i="2"/>
  <c r="F101" i="2"/>
  <c r="F100" i="2"/>
  <c r="H81" i="2"/>
  <c r="D90" i="2"/>
  <c r="H89" i="2" s="1"/>
  <c r="F89" i="2"/>
  <c r="F88" i="2"/>
  <c r="D82" i="2"/>
  <c r="F81" i="2"/>
  <c r="H82" i="2"/>
  <c r="F80" i="2"/>
  <c r="H70" i="2"/>
  <c r="E70" i="2"/>
  <c r="I70" i="2"/>
  <c r="F70" i="2"/>
  <c r="I69" i="2"/>
  <c r="F69" i="2"/>
  <c r="G66" i="2"/>
  <c r="D66" i="2"/>
  <c r="G68" i="2"/>
  <c r="D68" i="2"/>
  <c r="I68" i="2"/>
  <c r="G67" i="2"/>
  <c r="I67" i="2" s="1"/>
  <c r="D67" i="2"/>
  <c r="F67" i="2" s="1"/>
  <c r="G65" i="2"/>
  <c r="I65" i="2" s="1"/>
  <c r="D65" i="2"/>
  <c r="F65" i="2" s="1"/>
  <c r="E64" i="2"/>
  <c r="F64" i="2" s="1"/>
  <c r="H64" i="2"/>
  <c r="I64" i="2" s="1"/>
  <c r="I62" i="2"/>
  <c r="H62" i="2"/>
  <c r="E62" i="2"/>
  <c r="F62" i="2" s="1"/>
  <c r="D63" i="2"/>
  <c r="D62" i="2"/>
  <c r="I39" i="2"/>
  <c r="F112" i="2" l="1"/>
  <c r="H90" i="2"/>
  <c r="E90" i="2"/>
  <c r="E82" i="2"/>
  <c r="F37" i="2"/>
  <c r="I89" i="2" l="1"/>
  <c r="J89" i="2" s="1"/>
  <c r="I88" i="2"/>
  <c r="J88" i="2" s="1"/>
  <c r="I90" i="2"/>
  <c r="J90" i="2" s="1"/>
  <c r="F90" i="2"/>
  <c r="I81" i="2"/>
  <c r="J81" i="2" s="1"/>
  <c r="I80" i="2"/>
  <c r="J80" i="2" s="1"/>
  <c r="I82" i="2"/>
  <c r="J82" i="2" s="1"/>
  <c r="F82" i="2"/>
  <c r="H53" i="2"/>
  <c r="D53" i="2"/>
  <c r="F52" i="2"/>
  <c r="F51" i="2"/>
  <c r="D46" i="2"/>
  <c r="H45" i="2" s="1"/>
  <c r="H46" i="2" s="1"/>
  <c r="F45" i="2"/>
  <c r="F44" i="2"/>
  <c r="H39" i="2"/>
  <c r="D39" i="2"/>
  <c r="F38" i="2"/>
  <c r="L25" i="2"/>
  <c r="J26" i="2" s="1"/>
  <c r="L26" i="2" s="1"/>
  <c r="I25" i="2"/>
  <c r="G26" i="2" s="1"/>
  <c r="F25" i="2"/>
  <c r="D26" i="2" s="1"/>
  <c r="H12" i="2"/>
  <c r="M45" i="2" l="1"/>
  <c r="E53" i="2"/>
  <c r="F53" i="2" s="1"/>
  <c r="F46" i="2"/>
  <c r="E39" i="2"/>
  <c r="L27" i="2"/>
  <c r="K27" i="2" s="1"/>
  <c r="E12" i="2"/>
  <c r="C10" i="2"/>
  <c r="D8" i="2" s="1"/>
  <c r="H132" i="1"/>
  <c r="I132" i="1" s="1"/>
  <c r="D138" i="1" s="1"/>
  <c r="I131" i="1"/>
  <c r="I129" i="1"/>
  <c r="I128" i="1"/>
  <c r="F129" i="1"/>
  <c r="E132" i="1"/>
  <c r="F132" i="1" s="1"/>
  <c r="F131" i="1"/>
  <c r="F128" i="1"/>
  <c r="F130" i="1" s="1"/>
  <c r="D116" i="1"/>
  <c r="D108" i="1"/>
  <c r="F115" i="1"/>
  <c r="E113" i="1"/>
  <c r="E105" i="1"/>
  <c r="I96" i="1"/>
  <c r="E87" i="1"/>
  <c r="E106" i="1" s="1"/>
  <c r="F106" i="1" s="1"/>
  <c r="F96" i="1"/>
  <c r="E96" i="1" s="1"/>
  <c r="E114" i="1" s="1"/>
  <c r="F114" i="1" s="1"/>
  <c r="F116" i="1" s="1"/>
  <c r="I87" i="1"/>
  <c r="F87" i="1"/>
  <c r="F14" i="1"/>
  <c r="E63" i="2" l="1"/>
  <c r="F63" i="2" s="1"/>
  <c r="I46" i="2"/>
  <c r="H63" i="2"/>
  <c r="I63" i="2" s="1"/>
  <c r="I45" i="2"/>
  <c r="J45" i="2" s="1"/>
  <c r="I44" i="2"/>
  <c r="J44" i="2" s="1"/>
  <c r="J46" i="2"/>
  <c r="J53" i="2"/>
  <c r="J52" i="2"/>
  <c r="J51" i="2"/>
  <c r="J37" i="2"/>
  <c r="F39" i="2"/>
  <c r="D10" i="2"/>
  <c r="C9" i="2" s="1"/>
  <c r="E8" i="2"/>
  <c r="H8" i="2"/>
  <c r="F8" i="2"/>
  <c r="F9" i="2"/>
  <c r="G8" i="2"/>
  <c r="I130" i="1"/>
  <c r="F107" i="1"/>
  <c r="F108" i="1" s="1"/>
  <c r="H85" i="1"/>
  <c r="E76" i="1"/>
  <c r="I74" i="1"/>
  <c r="I76" i="1" s="1"/>
  <c r="G63" i="1"/>
  <c r="I53" i="1"/>
  <c r="E53" i="1"/>
  <c r="G52" i="1"/>
  <c r="G51" i="1"/>
  <c r="I45" i="1"/>
  <c r="E45" i="1"/>
  <c r="G43" i="1"/>
  <c r="J30" i="1"/>
  <c r="G30" i="1"/>
  <c r="E10" i="1"/>
  <c r="I14" i="1"/>
  <c r="H14" i="1"/>
  <c r="G14" i="1"/>
  <c r="E64" i="1" s="1"/>
  <c r="H11" i="1"/>
  <c r="G11" i="1"/>
  <c r="F11" i="1"/>
  <c r="D11" i="1"/>
  <c r="I10" i="1"/>
  <c r="I12" i="1" s="1"/>
  <c r="I15" i="1" s="1"/>
  <c r="H10" i="1"/>
  <c r="G10" i="1"/>
  <c r="G12" i="1" s="1"/>
  <c r="G15" i="1" s="1"/>
  <c r="F64" i="1" s="1"/>
  <c r="F10" i="1"/>
  <c r="G9" i="2" l="1"/>
  <c r="G10" i="2" s="1"/>
  <c r="G13" i="2" s="1"/>
  <c r="H9" i="2"/>
  <c r="H10" i="2" s="1"/>
  <c r="H13" i="2" s="1"/>
  <c r="J10" i="1"/>
  <c r="J11" i="1"/>
  <c r="F12" i="1"/>
  <c r="F15" i="1" s="1"/>
  <c r="F32" i="1" s="1"/>
  <c r="G32" i="1" s="1"/>
  <c r="G34" i="1" s="1"/>
  <c r="F34" i="1" s="1"/>
  <c r="F44" i="1" s="1"/>
  <c r="G44" i="1" s="1"/>
  <c r="F45" i="1" s="1"/>
  <c r="F61" i="1" s="1"/>
  <c r="G61" i="1" s="1"/>
  <c r="G65" i="1" s="1"/>
  <c r="F65" i="1" s="1"/>
  <c r="H12" i="1"/>
  <c r="H15" i="1" s="1"/>
  <c r="F53" i="1"/>
  <c r="F62" i="1" s="1"/>
  <c r="G62" i="1" s="1"/>
  <c r="E9" i="2"/>
  <c r="E10" i="2" s="1"/>
  <c r="F10" i="2"/>
  <c r="F13" i="2" s="1"/>
  <c r="I32" i="1"/>
  <c r="J32" i="1" s="1"/>
  <c r="J34" i="1" s="1"/>
  <c r="I34" i="1" s="1"/>
  <c r="G64" i="1"/>
  <c r="J53" i="1"/>
  <c r="K53" i="1" s="1"/>
  <c r="G53" i="1"/>
  <c r="J52" i="1"/>
  <c r="K52" i="1" s="1"/>
  <c r="J51" i="1"/>
  <c r="K51" i="1" s="1"/>
  <c r="E68" i="2" l="1"/>
  <c r="F68" i="2" s="1"/>
  <c r="H68" i="2"/>
  <c r="H66" i="2"/>
  <c r="I66" i="2" s="1"/>
  <c r="E66" i="2"/>
  <c r="F66" i="2" s="1"/>
  <c r="E13" i="2"/>
  <c r="F74" i="1"/>
  <c r="G74" i="1" s="1"/>
  <c r="F75" i="1"/>
  <c r="G75" i="1" s="1"/>
  <c r="G45" i="1"/>
  <c r="J44" i="1"/>
  <c r="K44" i="1" s="1"/>
  <c r="J45" i="1"/>
  <c r="K45" i="1" s="1"/>
  <c r="J43" i="1"/>
  <c r="K43" i="1" s="1"/>
  <c r="H26" i="2" l="1"/>
  <c r="I26" i="2" s="1"/>
  <c r="I27" i="2" s="1"/>
  <c r="H27" i="2" s="1"/>
  <c r="E26" i="2"/>
  <c r="F26" i="2" s="1"/>
  <c r="F27" i="2" s="1"/>
  <c r="E27" i="2" s="1"/>
  <c r="F76" i="1"/>
  <c r="H84" i="1" l="1"/>
  <c r="E93" i="1"/>
  <c r="H93" i="1"/>
  <c r="E84" i="1"/>
  <c r="J75" i="1"/>
  <c r="K75" i="1" s="1"/>
  <c r="J76" i="1"/>
  <c r="K76" i="1" s="1"/>
  <c r="J74" i="1"/>
  <c r="K74" i="1" s="1"/>
  <c r="G76" i="1"/>
  <c r="J39" i="2"/>
</calcChain>
</file>

<file path=xl/sharedStrings.xml><?xml version="1.0" encoding="utf-8"?>
<sst xmlns="http://schemas.openxmlformats.org/spreadsheetml/2006/main" count="333" uniqueCount="120">
  <si>
    <t>Charges par nature</t>
  </si>
  <si>
    <t>Total après répartition primaire</t>
  </si>
  <si>
    <t>Répartition secondaie entretien</t>
  </si>
  <si>
    <t>Energie</t>
  </si>
  <si>
    <t>Total après répartition secondaire</t>
  </si>
  <si>
    <t>Nature de l'UO</t>
  </si>
  <si>
    <t>Nombre d'UO</t>
  </si>
  <si>
    <t>Entretien (X)</t>
  </si>
  <si>
    <t>Energies (Y)</t>
  </si>
  <si>
    <t>Approvisionnement</t>
  </si>
  <si>
    <t xml:space="preserve">Atelier 1 </t>
  </si>
  <si>
    <t xml:space="preserve">Atelier 2 </t>
  </si>
  <si>
    <t>Distribution</t>
  </si>
  <si>
    <t>Cout d'UO</t>
  </si>
  <si>
    <t>X = 44000 + 0,05Y</t>
  </si>
  <si>
    <t>Y = 115000 + 0,1X</t>
  </si>
  <si>
    <t>Kg / matière Acheté</t>
  </si>
  <si>
    <t>Kg/ Mat Used</t>
  </si>
  <si>
    <t>Heures MOD</t>
  </si>
  <si>
    <t>100€ de CA</t>
  </si>
  <si>
    <t xml:space="preserve">Etude de cas </t>
  </si>
  <si>
    <t xml:space="preserve"> -</t>
  </si>
  <si>
    <t xml:space="preserve">Valeurs trouvées sur le sujet </t>
  </si>
  <si>
    <t>Achat MP</t>
  </si>
  <si>
    <t>Produit semi-fini</t>
  </si>
  <si>
    <t>Produit finis X et Y</t>
  </si>
  <si>
    <t>Vente</t>
  </si>
  <si>
    <t xml:space="preserve">Coût d'achat des Matières premières </t>
  </si>
  <si>
    <t>Matière A</t>
  </si>
  <si>
    <t>Matière B</t>
  </si>
  <si>
    <t>Quantité</t>
  </si>
  <si>
    <t>Cout Unitaire</t>
  </si>
  <si>
    <t xml:space="preserve">Montant </t>
  </si>
  <si>
    <t>Montant</t>
  </si>
  <si>
    <t>Coût unitaire</t>
  </si>
  <si>
    <t>Prix d'achat</t>
  </si>
  <si>
    <t xml:space="preserve">Coût d'achat </t>
  </si>
  <si>
    <t>Fiche de stocks A et B</t>
  </si>
  <si>
    <t>CMUP (imposé)</t>
  </si>
  <si>
    <t>Stock Initial</t>
  </si>
  <si>
    <t>Entrées</t>
  </si>
  <si>
    <t>Sorties</t>
  </si>
  <si>
    <t xml:space="preserve">Stock final </t>
  </si>
  <si>
    <t>Total</t>
  </si>
  <si>
    <t>Différence d'inventaire</t>
  </si>
  <si>
    <t>Coût de production des produits semi-finis</t>
  </si>
  <si>
    <t>Coût Unitaire</t>
  </si>
  <si>
    <t>Matière A utilisées</t>
  </si>
  <si>
    <t>Matière B utilisées</t>
  </si>
  <si>
    <t>Main Oeuvre Direct</t>
  </si>
  <si>
    <t xml:space="preserve">Centre atelier 1 </t>
  </si>
  <si>
    <t>Coût de production</t>
  </si>
  <si>
    <t>Donné dans l'énnoncé</t>
  </si>
  <si>
    <t>Fiche de stock du produit semi-fini</t>
  </si>
  <si>
    <t>Pourcentage donné dans Ennoncé</t>
  </si>
  <si>
    <t>Centre auxiliaire</t>
  </si>
  <si>
    <t>Centres principaux</t>
  </si>
  <si>
    <t>UO = unité d'heures</t>
  </si>
  <si>
    <t xml:space="preserve">Charge indirectes d'approvis </t>
  </si>
  <si>
    <t>Finis</t>
  </si>
  <si>
    <t>Coût prod de X</t>
  </si>
  <si>
    <t>En-cours initial</t>
  </si>
  <si>
    <t>Produits semi finis</t>
  </si>
  <si>
    <t>Main Œuvre Direct</t>
  </si>
  <si>
    <t>Atelier 2</t>
  </si>
  <si>
    <t>En-cours</t>
  </si>
  <si>
    <t>Coût prod de Y</t>
  </si>
  <si>
    <t>Fiche de stocks X et Y</t>
  </si>
  <si>
    <t>Produit X</t>
  </si>
  <si>
    <t>CU</t>
  </si>
  <si>
    <t>Stock final</t>
  </si>
  <si>
    <t>Produit Y</t>
  </si>
  <si>
    <t xml:space="preserve">CMUP = </t>
  </si>
  <si>
    <t>Résultat = Fiche stock -Coût de prod</t>
  </si>
  <si>
    <t>Résultat analytique = CA - Coût de revient</t>
  </si>
  <si>
    <t>Coût de revient et RA</t>
  </si>
  <si>
    <t>X</t>
  </si>
  <si>
    <t>Y</t>
  </si>
  <si>
    <t>Coût de revient</t>
  </si>
  <si>
    <t>CA = PQ</t>
  </si>
  <si>
    <t>RA = CA - Coût de revient</t>
  </si>
  <si>
    <t>Coût de distribution</t>
  </si>
  <si>
    <t>Coût prod</t>
  </si>
  <si>
    <t>Cout de prod + Coût de distribution = Cout de revient</t>
  </si>
  <si>
    <t>RESULTAT AG = 302180</t>
  </si>
  <si>
    <t>Matériel (X)</t>
  </si>
  <si>
    <t>Personnel (Y)</t>
  </si>
  <si>
    <t>X = 18000+0,1Y</t>
  </si>
  <si>
    <t>Y = 30000+0,1X</t>
  </si>
  <si>
    <t>Répartition secondaire : matériel</t>
  </si>
  <si>
    <t>Personnel</t>
  </si>
  <si>
    <t>100€ de prix d'achat</t>
  </si>
  <si>
    <t>1 kg d'excipient malaxé</t>
  </si>
  <si>
    <t>Nbre de produits finis</t>
  </si>
  <si>
    <t>Excipient</t>
  </si>
  <si>
    <t>Principe actif</t>
  </si>
  <si>
    <t>Pots vides</t>
  </si>
  <si>
    <t>Fiches de stocks des matières premières</t>
  </si>
  <si>
    <t>Div par 100 car approvisionnement par 100€ de prix d'achat</t>
  </si>
  <si>
    <t>Cout d'achat = Charges directes + Charges indirectes</t>
  </si>
  <si>
    <t>CMUP = 304,49</t>
  </si>
  <si>
    <t>CMUP =</t>
  </si>
  <si>
    <t>CMUP = 55,02</t>
  </si>
  <si>
    <t>Forme</t>
  </si>
  <si>
    <t>Pots vites</t>
  </si>
  <si>
    <t>Atelier 1 MOD</t>
  </si>
  <si>
    <t>Atelier 1 charge indirecte</t>
  </si>
  <si>
    <t>Atelier 2 charge indirecte</t>
  </si>
  <si>
    <t>Atelier 2 MOD</t>
  </si>
  <si>
    <t>En cours initial</t>
  </si>
  <si>
    <t>Fiche de stock du produit fini</t>
  </si>
  <si>
    <t>ENERGIE</t>
  </si>
  <si>
    <t>Coût de prodution</t>
  </si>
  <si>
    <t>Coût hors prod</t>
  </si>
  <si>
    <t>CA</t>
  </si>
  <si>
    <t>RA</t>
  </si>
  <si>
    <t>RA = CA - Coît de revient</t>
  </si>
  <si>
    <t>CA = P * Q</t>
  </si>
  <si>
    <t>FORME</t>
  </si>
  <si>
    <t>Résultat analytique global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</si>
</sst>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9C65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12"/>
      <color rgb="FF9C0006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2"/>
      <color rgb="FF9C65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sz val="14"/>
      <color theme="9" tint="-0.499984740745262"/>
      <name val="Calibri"/>
      <family val="2"/>
      <scheme val="minor"/>
    </font>
    <font>
      <sz val="11"/>
      <color theme="9" tint="-0.49998474074526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6" fillId="5" borderId="2" applyNumberFormat="0" applyAlignment="0" applyProtection="0"/>
    <xf numFmtId="0" fontId="1" fillId="6" borderId="3" applyNumberFormat="0" applyFont="0" applyAlignment="0" applyProtection="0"/>
  </cellStyleXfs>
  <cellXfs count="319">
    <xf numFmtId="0" fontId="0" fillId="0" borderId="0" xfId="0"/>
    <xf numFmtId="0" fontId="8" fillId="0" borderId="0" xfId="0" applyFont="1"/>
    <xf numFmtId="0" fontId="8" fillId="0" borderId="4" xfId="0" applyFont="1" applyBorder="1"/>
    <xf numFmtId="0" fontId="8" fillId="0" borderId="12" xfId="0" applyFont="1" applyBorder="1"/>
    <xf numFmtId="0" fontId="8" fillId="0" borderId="15" xfId="0" applyFont="1" applyBorder="1"/>
    <xf numFmtId="0" fontId="8" fillId="0" borderId="22" xfId="0" applyFont="1" applyBorder="1"/>
    <xf numFmtId="0" fontId="8" fillId="0" borderId="23" xfId="0" applyFont="1" applyBorder="1"/>
    <xf numFmtId="0" fontId="8" fillId="0" borderId="24" xfId="0" applyFont="1" applyBorder="1"/>
    <xf numFmtId="0" fontId="9" fillId="4" borderId="22" xfId="4" applyFont="1" applyBorder="1"/>
    <xf numFmtId="0" fontId="9" fillId="4" borderId="24" xfId="4" applyFont="1" applyBorder="1"/>
    <xf numFmtId="0" fontId="8" fillId="0" borderId="25" xfId="0" applyFont="1" applyFill="1" applyBorder="1"/>
    <xf numFmtId="0" fontId="2" fillId="0" borderId="1" xfId="1"/>
    <xf numFmtId="0" fontId="11" fillId="0" borderId="1" xfId="1" applyFont="1"/>
    <xf numFmtId="0" fontId="12" fillId="0" borderId="1" xfId="1" applyFont="1"/>
    <xf numFmtId="0" fontId="0" fillId="0" borderId="16" xfId="0" applyBorder="1"/>
    <xf numFmtId="0" fontId="0" fillId="0" borderId="31" xfId="0" applyBorder="1"/>
    <xf numFmtId="0" fontId="0" fillId="0" borderId="0" xfId="0" applyBorder="1"/>
    <xf numFmtId="0" fontId="7" fillId="0" borderId="0" xfId="0" applyFont="1"/>
    <xf numFmtId="0" fontId="18" fillId="0" borderId="0" xfId="0" applyFont="1"/>
    <xf numFmtId="0" fontId="20" fillId="0" borderId="15" xfId="0" applyFont="1" applyBorder="1"/>
    <xf numFmtId="0" fontId="8" fillId="0" borderId="31" xfId="0" applyFont="1" applyBorder="1"/>
    <xf numFmtId="0" fontId="8" fillId="0" borderId="0" xfId="0" applyFont="1" applyFill="1" applyBorder="1"/>
    <xf numFmtId="0" fontId="13" fillId="3" borderId="5" xfId="3" applyFont="1" applyBorder="1"/>
    <xf numFmtId="0" fontId="19" fillId="0" borderId="4" xfId="0" applyFont="1" applyBorder="1"/>
    <xf numFmtId="0" fontId="19" fillId="0" borderId="6" xfId="0" applyFont="1" applyBorder="1"/>
    <xf numFmtId="0" fontId="8" fillId="6" borderId="3" xfId="6" applyFont="1"/>
    <xf numFmtId="0" fontId="8" fillId="0" borderId="19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6" borderId="4" xfId="6" applyFont="1" applyBorder="1" applyAlignment="1">
      <alignment horizontal="center"/>
    </xf>
    <xf numFmtId="0" fontId="9" fillId="4" borderId="38" xfId="4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5" borderId="2" xfId="5" applyAlignment="1">
      <alignment horizontal="center"/>
    </xf>
    <xf numFmtId="0" fontId="0" fillId="0" borderId="26" xfId="0" applyBorder="1" applyAlignment="1">
      <alignment horizontal="center"/>
    </xf>
    <xf numFmtId="0" fontId="14" fillId="2" borderId="28" xfId="2" applyFont="1" applyBorder="1" applyAlignment="1">
      <alignment horizontal="center"/>
    </xf>
    <xf numFmtId="0" fontId="14" fillId="2" borderId="29" xfId="2" applyFont="1" applyBorder="1" applyAlignment="1">
      <alignment horizontal="center"/>
    </xf>
    <xf numFmtId="0" fontId="14" fillId="2" borderId="30" xfId="2" applyFont="1" applyBorder="1" applyAlignment="1">
      <alignment horizontal="center"/>
    </xf>
    <xf numFmtId="0" fontId="0" fillId="6" borderId="21" xfId="6" applyFont="1" applyBorder="1" applyAlignment="1">
      <alignment horizontal="center"/>
    </xf>
    <xf numFmtId="0" fontId="9" fillId="4" borderId="42" xfId="4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14" fillId="2" borderId="4" xfId="2" applyFont="1" applyBorder="1" applyAlignment="1">
      <alignment horizontal="center"/>
    </xf>
    <xf numFmtId="0" fontId="15" fillId="4" borderId="4" xfId="4" applyFont="1" applyBorder="1" applyAlignment="1">
      <alignment horizontal="center"/>
    </xf>
    <xf numFmtId="0" fontId="10" fillId="2" borderId="6" xfId="2" applyFont="1" applyBorder="1" applyAlignment="1">
      <alignment horizontal="center"/>
    </xf>
    <xf numFmtId="0" fontId="9" fillId="4" borderId="4" xfId="4" applyFont="1" applyBorder="1" applyAlignment="1">
      <alignment horizontal="center"/>
    </xf>
    <xf numFmtId="0" fontId="10" fillId="2" borderId="4" xfId="2" applyFont="1" applyBorder="1" applyAlignment="1">
      <alignment horizontal="center"/>
    </xf>
    <xf numFmtId="0" fontId="10" fillId="2" borderId="27" xfId="2" applyFont="1" applyBorder="1" applyAlignment="1">
      <alignment horizontal="center"/>
    </xf>
    <xf numFmtId="0" fontId="9" fillId="4" borderId="27" xfId="4" applyFont="1" applyBorder="1" applyAlignment="1">
      <alignment horizontal="center"/>
    </xf>
    <xf numFmtId="0" fontId="10" fillId="2" borderId="26" xfId="2" applyFont="1" applyBorder="1" applyAlignment="1">
      <alignment horizontal="center"/>
    </xf>
    <xf numFmtId="0" fontId="16" fillId="2" borderId="5" xfId="2" applyFont="1" applyBorder="1" applyAlignment="1">
      <alignment horizontal="center"/>
    </xf>
    <xf numFmtId="0" fontId="10" fillId="2" borderId="21" xfId="2" applyFont="1" applyBorder="1" applyAlignment="1">
      <alignment horizontal="center"/>
    </xf>
    <xf numFmtId="0" fontId="9" fillId="4" borderId="26" xfId="4" applyFont="1" applyBorder="1" applyAlignment="1">
      <alignment horizontal="center"/>
    </xf>
    <xf numFmtId="0" fontId="16" fillId="4" borderId="5" xfId="4" applyFont="1" applyBorder="1" applyAlignment="1">
      <alignment horizontal="center"/>
    </xf>
    <xf numFmtId="0" fontId="9" fillId="4" borderId="21" xfId="4" applyFont="1" applyBorder="1" applyAlignment="1">
      <alignment horizontal="center"/>
    </xf>
    <xf numFmtId="0" fontId="14" fillId="2" borderId="27" xfId="2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0" fillId="2" borderId="33" xfId="2" applyFont="1" applyBorder="1" applyAlignment="1">
      <alignment horizontal="center"/>
    </xf>
    <xf numFmtId="0" fontId="3" fillId="2" borderId="21" xfId="2" applyBorder="1" applyAlignment="1">
      <alignment horizontal="center"/>
    </xf>
    <xf numFmtId="0" fontId="3" fillId="2" borderId="4" xfId="2" applyBorder="1" applyAlignment="1">
      <alignment horizontal="center"/>
    </xf>
    <xf numFmtId="0" fontId="3" fillId="2" borderId="26" xfId="2" applyBorder="1" applyAlignment="1">
      <alignment horizontal="center"/>
    </xf>
    <xf numFmtId="0" fontId="3" fillId="2" borderId="34" xfId="2" applyBorder="1" applyAlignment="1">
      <alignment horizontal="center"/>
    </xf>
    <xf numFmtId="0" fontId="3" fillId="2" borderId="27" xfId="2" applyBorder="1" applyAlignment="1">
      <alignment horizontal="center"/>
    </xf>
    <xf numFmtId="0" fontId="3" fillId="2" borderId="36" xfId="2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3" fillId="2" borderId="19" xfId="2" applyBorder="1" applyAlignment="1">
      <alignment horizontal="center"/>
    </xf>
    <xf numFmtId="0" fontId="3" fillId="2" borderId="35" xfId="2" applyBorder="1" applyAlignment="1">
      <alignment horizontal="center"/>
    </xf>
    <xf numFmtId="0" fontId="3" fillId="2" borderId="8" xfId="2" applyBorder="1" applyAlignment="1">
      <alignment horizontal="center"/>
    </xf>
    <xf numFmtId="0" fontId="0" fillId="0" borderId="16" xfId="0" applyBorder="1" applyAlignment="1">
      <alignment vertical="center"/>
    </xf>
    <xf numFmtId="0" fontId="10" fillId="2" borderId="46" xfId="2" applyFont="1" applyBorder="1" applyAlignment="1">
      <alignment horizontal="center"/>
    </xf>
    <xf numFmtId="0" fontId="3" fillId="2" borderId="47" xfId="2" applyBorder="1" applyAlignment="1">
      <alignment horizontal="center"/>
    </xf>
    <xf numFmtId="0" fontId="3" fillId="2" borderId="48" xfId="2" applyBorder="1" applyAlignment="1">
      <alignment horizontal="center"/>
    </xf>
    <xf numFmtId="0" fontId="3" fillId="2" borderId="46" xfId="2" applyBorder="1" applyAlignment="1">
      <alignment horizontal="center"/>
    </xf>
    <xf numFmtId="0" fontId="3" fillId="2" borderId="33" xfId="2" applyBorder="1" applyAlignment="1">
      <alignment horizontal="center"/>
    </xf>
    <xf numFmtId="0" fontId="14" fillId="2" borderId="46" xfId="2" applyFont="1" applyBorder="1" applyAlignment="1">
      <alignment horizontal="center"/>
    </xf>
    <xf numFmtId="0" fontId="14" fillId="2" borderId="33" xfId="2" applyFont="1" applyBorder="1" applyAlignment="1">
      <alignment horizontal="center"/>
    </xf>
    <xf numFmtId="0" fontId="3" fillId="2" borderId="49" xfId="2" applyBorder="1" applyAlignment="1">
      <alignment horizontal="center"/>
    </xf>
    <xf numFmtId="0" fontId="3" fillId="2" borderId="50" xfId="2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8" xfId="0" applyBorder="1" applyAlignment="1">
      <alignment horizontal="center"/>
    </xf>
    <xf numFmtId="0" fontId="8" fillId="0" borderId="51" xfId="0" applyFont="1" applyFill="1" applyBorder="1"/>
    <xf numFmtId="0" fontId="8" fillId="0" borderId="52" xfId="0" applyFont="1" applyFill="1" applyBorder="1"/>
    <xf numFmtId="0" fontId="0" fillId="0" borderId="34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16" xfId="0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7" fillId="2" borderId="26" xfId="2" applyFont="1" applyBorder="1" applyAlignment="1">
      <alignment horizontal="center"/>
    </xf>
    <xf numFmtId="0" fontId="3" fillId="2" borderId="32" xfId="2" applyBorder="1" applyAlignment="1">
      <alignment horizontal="center"/>
    </xf>
    <xf numFmtId="0" fontId="3" fillId="2" borderId="7" xfId="2" applyBorder="1" applyAlignment="1">
      <alignment horizontal="center"/>
    </xf>
    <xf numFmtId="0" fontId="3" fillId="2" borderId="6" xfId="2" applyBorder="1" applyAlignment="1">
      <alignment horizontal="center"/>
    </xf>
    <xf numFmtId="0" fontId="14" fillId="2" borderId="35" xfId="2" applyFont="1" applyBorder="1" applyAlignment="1">
      <alignment horizontal="center"/>
    </xf>
    <xf numFmtId="0" fontId="14" fillId="2" borderId="8" xfId="2" applyFont="1" applyBorder="1" applyAlignment="1">
      <alignment horizontal="center"/>
    </xf>
    <xf numFmtId="0" fontId="8" fillId="0" borderId="9" xfId="0" applyFont="1" applyFill="1" applyBorder="1"/>
    <xf numFmtId="0" fontId="3" fillId="2" borderId="29" xfId="2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3" fillId="2" borderId="53" xfId="2" applyBorder="1" applyAlignment="1">
      <alignment horizontal="center"/>
    </xf>
    <xf numFmtId="0" fontId="3" fillId="2" borderId="54" xfId="2" applyBorder="1" applyAlignment="1">
      <alignment horizontal="center"/>
    </xf>
    <xf numFmtId="0" fontId="14" fillId="2" borderId="48" xfId="2" applyFont="1" applyBorder="1" applyAlignment="1">
      <alignment horizontal="center"/>
    </xf>
    <xf numFmtId="0" fontId="10" fillId="2" borderId="48" xfId="2" applyFont="1" applyBorder="1" applyAlignment="1">
      <alignment horizontal="center"/>
    </xf>
    <xf numFmtId="0" fontId="10" fillId="2" borderId="35" xfId="2" applyFont="1" applyBorder="1" applyAlignment="1">
      <alignment horizontal="center"/>
    </xf>
    <xf numFmtId="0" fontId="10" fillId="2" borderId="8" xfId="2" applyFont="1" applyBorder="1" applyAlignment="1">
      <alignment horizont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0" fillId="0" borderId="0" xfId="0" quotePrefix="1"/>
    <xf numFmtId="2" fontId="14" fillId="2" borderId="28" xfId="2" applyNumberFormat="1" applyFon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4" xfId="6" applyNumberFormat="1" applyFont="1" applyFill="1" applyBorder="1" applyAlignment="1">
      <alignment horizontal="center"/>
    </xf>
    <xf numFmtId="2" fontId="8" fillId="0" borderId="20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/>
    </xf>
    <xf numFmtId="2" fontId="6" fillId="5" borderId="2" xfId="5" applyNumberFormat="1" applyAlignment="1">
      <alignment horizontal="center"/>
    </xf>
    <xf numFmtId="2" fontId="0" fillId="0" borderId="20" xfId="0" applyNumberFormat="1" applyBorder="1" applyAlignment="1">
      <alignment horizontal="center"/>
    </xf>
    <xf numFmtId="2" fontId="0" fillId="0" borderId="21" xfId="6" applyNumberFormat="1" applyFont="1" applyFill="1" applyBorder="1" applyAlignment="1">
      <alignment horizontal="center"/>
    </xf>
    <xf numFmtId="2" fontId="0" fillId="7" borderId="21" xfId="0" applyNumberFormat="1" applyFill="1" applyBorder="1" applyAlignment="1">
      <alignment horizontal="center"/>
    </xf>
    <xf numFmtId="2" fontId="9" fillId="7" borderId="4" xfId="4" applyNumberFormat="1" applyFont="1" applyFill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15" fillId="8" borderId="4" xfId="4" applyFont="1" applyFill="1" applyBorder="1" applyAlignment="1">
      <alignment horizontal="center"/>
    </xf>
    <xf numFmtId="0" fontId="9" fillId="8" borderId="4" xfId="4" applyFont="1" applyFill="1" applyBorder="1" applyAlignment="1">
      <alignment horizontal="center"/>
    </xf>
    <xf numFmtId="2" fontId="10" fillId="2" borderId="4" xfId="2" applyNumberFormat="1" applyFont="1" applyBorder="1" applyAlignment="1">
      <alignment horizontal="center"/>
    </xf>
    <xf numFmtId="2" fontId="9" fillId="4" borderId="4" xfId="4" applyNumberFormat="1" applyFont="1" applyBorder="1" applyAlignment="1">
      <alignment horizontal="center"/>
    </xf>
    <xf numFmtId="2" fontId="9" fillId="8" borderId="4" xfId="4" applyNumberFormat="1" applyFont="1" applyFill="1" applyBorder="1" applyAlignment="1">
      <alignment horizontal="center"/>
    </xf>
    <xf numFmtId="2" fontId="10" fillId="2" borderId="26" xfId="2" applyNumberFormat="1" applyFont="1" applyBorder="1" applyAlignment="1">
      <alignment horizontal="center"/>
    </xf>
    <xf numFmtId="2" fontId="16" fillId="2" borderId="5" xfId="2" applyNumberFormat="1" applyFont="1" applyBorder="1" applyAlignment="1">
      <alignment horizontal="center"/>
    </xf>
    <xf numFmtId="2" fontId="10" fillId="2" borderId="21" xfId="2" applyNumberFormat="1" applyFont="1" applyBorder="1" applyAlignment="1">
      <alignment horizontal="center"/>
    </xf>
    <xf numFmtId="2" fontId="9" fillId="4" borderId="26" xfId="4" applyNumberFormat="1" applyFont="1" applyBorder="1" applyAlignment="1">
      <alignment horizontal="center"/>
    </xf>
    <xf numFmtId="2" fontId="16" fillId="4" borderId="5" xfId="4" applyNumberFormat="1" applyFont="1" applyBorder="1" applyAlignment="1">
      <alignment horizontal="center"/>
    </xf>
    <xf numFmtId="2" fontId="9" fillId="4" borderId="21" xfId="4" applyNumberFormat="1" applyFont="1" applyBorder="1" applyAlignment="1">
      <alignment horizontal="center"/>
    </xf>
    <xf numFmtId="2" fontId="9" fillId="8" borderId="26" xfId="4" applyNumberFormat="1" applyFont="1" applyFill="1" applyBorder="1" applyAlignment="1">
      <alignment horizontal="center"/>
    </xf>
    <xf numFmtId="2" fontId="16" fillId="8" borderId="5" xfId="4" applyNumberFormat="1" applyFont="1" applyFill="1" applyBorder="1" applyAlignment="1">
      <alignment horizontal="center"/>
    </xf>
    <xf numFmtId="2" fontId="9" fillId="8" borderId="21" xfId="4" applyNumberFormat="1" applyFont="1" applyFill="1" applyBorder="1" applyAlignment="1">
      <alignment horizontal="center"/>
    </xf>
    <xf numFmtId="2" fontId="3" fillId="2" borderId="21" xfId="2" applyNumberFormat="1" applyBorder="1" applyAlignment="1">
      <alignment horizontal="center"/>
    </xf>
    <xf numFmtId="2" fontId="3" fillId="2" borderId="4" xfId="2" applyNumberFormat="1" applyBorder="1" applyAlignment="1">
      <alignment horizontal="center"/>
    </xf>
    <xf numFmtId="2" fontId="3" fillId="2" borderId="26" xfId="2" applyNumberFormat="1" applyBorder="1" applyAlignment="1">
      <alignment horizontal="center"/>
    </xf>
    <xf numFmtId="2" fontId="8" fillId="0" borderId="22" xfId="0" applyNumberFormat="1" applyFont="1" applyBorder="1" applyAlignment="1">
      <alignment horizontal="center"/>
    </xf>
    <xf numFmtId="2" fontId="3" fillId="2" borderId="34" xfId="2" applyNumberFormat="1" applyBorder="1" applyAlignment="1">
      <alignment horizontal="center"/>
    </xf>
    <xf numFmtId="2" fontId="3" fillId="2" borderId="27" xfId="2" applyNumberFormat="1" applyBorder="1" applyAlignment="1">
      <alignment horizontal="center"/>
    </xf>
    <xf numFmtId="2" fontId="8" fillId="0" borderId="23" xfId="0" applyNumberFormat="1" applyFont="1" applyBorder="1" applyAlignment="1">
      <alignment horizontal="center"/>
    </xf>
    <xf numFmtId="2" fontId="3" fillId="2" borderId="36" xfId="2" applyNumberFormat="1" applyBorder="1" applyAlignment="1">
      <alignment horizontal="center"/>
    </xf>
    <xf numFmtId="2" fontId="8" fillId="0" borderId="24" xfId="0" applyNumberFormat="1" applyFont="1" applyBorder="1" applyAlignment="1">
      <alignment horizontal="center"/>
    </xf>
    <xf numFmtId="2" fontId="3" fillId="2" borderId="19" xfId="2" applyNumberFormat="1" applyBorder="1" applyAlignment="1">
      <alignment horizontal="center"/>
    </xf>
    <xf numFmtId="2" fontId="3" fillId="2" borderId="35" xfId="2" applyNumberFormat="1" applyBorder="1" applyAlignment="1">
      <alignment horizontal="center"/>
    </xf>
    <xf numFmtId="2" fontId="3" fillId="2" borderId="8" xfId="2" applyNumberFormat="1" applyBorder="1" applyAlignment="1">
      <alignment horizontal="center"/>
    </xf>
    <xf numFmtId="2" fontId="0" fillId="0" borderId="0" xfId="0" applyNumberFormat="1"/>
    <xf numFmtId="2" fontId="0" fillId="0" borderId="16" xfId="0" applyNumberFormat="1" applyBorder="1" applyAlignment="1">
      <alignment vertical="center"/>
    </xf>
    <xf numFmtId="2" fontId="14" fillId="7" borderId="27" xfId="2" applyNumberFormat="1" applyFon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10" fillId="7" borderId="27" xfId="2" applyNumberFormat="1" applyFont="1" applyFill="1" applyBorder="1" applyAlignment="1">
      <alignment horizontal="center"/>
    </xf>
    <xf numFmtId="2" fontId="10" fillId="7" borderId="33" xfId="2" applyNumberFormat="1" applyFont="1" applyFill="1" applyBorder="1" applyAlignment="1">
      <alignment horizontal="center"/>
    </xf>
    <xf numFmtId="2" fontId="3" fillId="7" borderId="21" xfId="2" applyNumberFormat="1" applyFill="1" applyBorder="1" applyAlignment="1">
      <alignment horizontal="center"/>
    </xf>
    <xf numFmtId="2" fontId="3" fillId="7" borderId="4" xfId="2" applyNumberFormat="1" applyFill="1" applyBorder="1" applyAlignment="1">
      <alignment horizontal="center"/>
    </xf>
    <xf numFmtId="2" fontId="3" fillId="7" borderId="26" xfId="2" applyNumberFormat="1" applyFill="1" applyBorder="1" applyAlignment="1">
      <alignment horizontal="center"/>
    </xf>
    <xf numFmtId="2" fontId="3" fillId="7" borderId="34" xfId="2" applyNumberFormat="1" applyFill="1" applyBorder="1" applyAlignment="1">
      <alignment horizontal="center"/>
    </xf>
    <xf numFmtId="2" fontId="3" fillId="7" borderId="27" xfId="2" applyNumberFormat="1" applyFill="1" applyBorder="1" applyAlignment="1">
      <alignment horizontal="center"/>
    </xf>
    <xf numFmtId="2" fontId="3" fillId="7" borderId="36" xfId="2" applyNumberFormat="1" applyFill="1" applyBorder="1" applyAlignment="1">
      <alignment horizontal="center"/>
    </xf>
    <xf numFmtId="2" fontId="16" fillId="7" borderId="5" xfId="2" applyNumberFormat="1" applyFont="1" applyFill="1" applyBorder="1" applyAlignment="1">
      <alignment horizontal="center"/>
    </xf>
    <xf numFmtId="2" fontId="3" fillId="7" borderId="19" xfId="2" applyNumberFormat="1" applyFill="1" applyBorder="1" applyAlignment="1">
      <alignment horizontal="center"/>
    </xf>
    <xf numFmtId="2" fontId="3" fillId="7" borderId="35" xfId="2" applyNumberFormat="1" applyFill="1" applyBorder="1" applyAlignment="1">
      <alignment horizontal="center"/>
    </xf>
    <xf numFmtId="2" fontId="3" fillId="7" borderId="8" xfId="2" applyNumberFormat="1" applyFill="1" applyBorder="1" applyAlignment="1">
      <alignment horizontal="center"/>
    </xf>
    <xf numFmtId="2" fontId="14" fillId="8" borderId="27" xfId="2" applyNumberFormat="1" applyFont="1" applyFill="1" applyBorder="1" applyAlignment="1">
      <alignment horizontal="center"/>
    </xf>
    <xf numFmtId="2" fontId="10" fillId="8" borderId="27" xfId="2" applyNumberFormat="1" applyFont="1" applyFill="1" applyBorder="1" applyAlignment="1">
      <alignment horizontal="center"/>
    </xf>
    <xf numFmtId="2" fontId="10" fillId="8" borderId="33" xfId="2" applyNumberFormat="1" applyFont="1" applyFill="1" applyBorder="1" applyAlignment="1">
      <alignment horizontal="center"/>
    </xf>
    <xf numFmtId="2" fontId="3" fillId="8" borderId="21" xfId="2" applyNumberFormat="1" applyFill="1" applyBorder="1" applyAlignment="1">
      <alignment horizontal="center"/>
    </xf>
    <xf numFmtId="2" fontId="3" fillId="8" borderId="4" xfId="2" applyNumberFormat="1" applyFill="1" applyBorder="1" applyAlignment="1">
      <alignment horizontal="center"/>
    </xf>
    <xf numFmtId="2" fontId="3" fillId="8" borderId="26" xfId="2" applyNumberFormat="1" applyFill="1" applyBorder="1" applyAlignment="1">
      <alignment horizontal="center"/>
    </xf>
    <xf numFmtId="2" fontId="3" fillId="8" borderId="34" xfId="2" applyNumberFormat="1" applyFill="1" applyBorder="1" applyAlignment="1">
      <alignment horizontal="center"/>
    </xf>
    <xf numFmtId="2" fontId="3" fillId="8" borderId="27" xfId="2" applyNumberFormat="1" applyFill="1" applyBorder="1" applyAlignment="1">
      <alignment horizontal="center"/>
    </xf>
    <xf numFmtId="2" fontId="3" fillId="8" borderId="36" xfId="2" applyNumberFormat="1" applyFill="1" applyBorder="1" applyAlignment="1">
      <alignment horizontal="center"/>
    </xf>
    <xf numFmtId="2" fontId="16" fillId="8" borderId="5" xfId="2" applyNumberFormat="1" applyFont="1" applyFill="1" applyBorder="1" applyAlignment="1">
      <alignment horizontal="center"/>
    </xf>
    <xf numFmtId="2" fontId="3" fillId="8" borderId="19" xfId="2" applyNumberFormat="1" applyFill="1" applyBorder="1" applyAlignment="1">
      <alignment horizontal="center"/>
    </xf>
    <xf numFmtId="2" fontId="3" fillId="8" borderId="35" xfId="2" applyNumberFormat="1" applyFill="1" applyBorder="1" applyAlignment="1">
      <alignment horizontal="center"/>
    </xf>
    <xf numFmtId="2" fontId="3" fillId="8" borderId="8" xfId="2" applyNumberFormat="1" applyFill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22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15" fillId="4" borderId="26" xfId="4" applyFont="1" applyBorder="1" applyAlignment="1">
      <alignment horizontal="center"/>
    </xf>
    <xf numFmtId="0" fontId="15" fillId="4" borderId="43" xfId="4" applyFont="1" applyBorder="1" applyAlignment="1">
      <alignment horizontal="center"/>
    </xf>
    <xf numFmtId="0" fontId="15" fillId="4" borderId="21" xfId="4" applyFont="1" applyBorder="1" applyAlignment="1">
      <alignment horizontal="center"/>
    </xf>
    <xf numFmtId="0" fontId="14" fillId="2" borderId="26" xfId="2" applyFont="1" applyBorder="1" applyAlignment="1">
      <alignment horizontal="center"/>
    </xf>
    <xf numFmtId="0" fontId="14" fillId="2" borderId="43" xfId="2" applyFont="1" applyBorder="1" applyAlignment="1">
      <alignment horizontal="center"/>
    </xf>
    <xf numFmtId="0" fontId="14" fillId="2" borderId="21" xfId="2" applyFont="1" applyBorder="1" applyAlignment="1">
      <alignment horizontal="center"/>
    </xf>
    <xf numFmtId="0" fontId="20" fillId="0" borderId="15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14" fillId="2" borderId="39" xfId="2" applyFont="1" applyBorder="1" applyAlignment="1">
      <alignment horizontal="center" vertical="center"/>
    </xf>
    <xf numFmtId="0" fontId="14" fillId="2" borderId="41" xfId="2" applyFont="1" applyBorder="1" applyAlignment="1">
      <alignment horizontal="center" vertical="center"/>
    </xf>
    <xf numFmtId="0" fontId="14" fillId="2" borderId="40" xfId="2" applyFont="1" applyBorder="1" applyAlignment="1">
      <alignment horizontal="center" vertical="center"/>
    </xf>
    <xf numFmtId="0" fontId="10" fillId="2" borderId="39" xfId="2" applyFont="1" applyBorder="1" applyAlignment="1">
      <alignment horizontal="center" vertical="center"/>
    </xf>
    <xf numFmtId="0" fontId="10" fillId="2" borderId="41" xfId="2" applyFont="1" applyBorder="1" applyAlignment="1">
      <alignment horizontal="center" vertical="center"/>
    </xf>
    <xf numFmtId="0" fontId="10" fillId="2" borderId="40" xfId="2" applyFont="1" applyBorder="1" applyAlignment="1">
      <alignment horizontal="center" vertical="center"/>
    </xf>
    <xf numFmtId="0" fontId="20" fillId="0" borderId="44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14" fillId="2" borderId="45" xfId="2" applyFont="1" applyBorder="1" applyAlignment="1">
      <alignment horizontal="center" vertical="center"/>
    </xf>
    <xf numFmtId="0" fontId="14" fillId="2" borderId="18" xfId="2" applyFont="1" applyBorder="1" applyAlignment="1">
      <alignment horizontal="center" vertical="center"/>
    </xf>
    <xf numFmtId="0" fontId="10" fillId="2" borderId="45" xfId="2" applyFont="1" applyBorder="1" applyAlignment="1">
      <alignment horizontal="center" vertical="center"/>
    </xf>
    <xf numFmtId="0" fontId="14" fillId="2" borderId="45" xfId="2" applyFont="1" applyBorder="1" applyAlignment="1">
      <alignment horizontal="center"/>
    </xf>
    <xf numFmtId="0" fontId="14" fillId="2" borderId="41" xfId="2" applyFont="1" applyBorder="1" applyAlignment="1">
      <alignment horizontal="center"/>
    </xf>
    <xf numFmtId="0" fontId="14" fillId="2" borderId="18" xfId="2" applyFont="1" applyBorder="1" applyAlignment="1">
      <alignment horizontal="center"/>
    </xf>
    <xf numFmtId="0" fontId="10" fillId="2" borderId="45" xfId="2" applyFont="1" applyBorder="1" applyAlignment="1">
      <alignment horizontal="center"/>
    </xf>
    <xf numFmtId="0" fontId="10" fillId="2" borderId="41" xfId="2" applyFont="1" applyBorder="1" applyAlignment="1">
      <alignment horizontal="center"/>
    </xf>
    <xf numFmtId="0" fontId="10" fillId="2" borderId="40" xfId="2" applyFont="1" applyBorder="1" applyAlignment="1">
      <alignment horizontal="center"/>
    </xf>
    <xf numFmtId="2" fontId="14" fillId="8" borderId="45" xfId="2" applyNumberFormat="1" applyFont="1" applyFill="1" applyBorder="1" applyAlignment="1">
      <alignment horizontal="center" vertical="center"/>
    </xf>
    <xf numFmtId="2" fontId="14" fillId="8" borderId="41" xfId="2" applyNumberFormat="1" applyFont="1" applyFill="1" applyBorder="1" applyAlignment="1">
      <alignment horizontal="center" vertical="center"/>
    </xf>
    <xf numFmtId="2" fontId="14" fillId="8" borderId="18" xfId="2" applyNumberFormat="1" applyFont="1" applyFill="1" applyBorder="1" applyAlignment="1">
      <alignment horizontal="center" vertical="center"/>
    </xf>
    <xf numFmtId="2" fontId="10" fillId="8" borderId="45" xfId="2" applyNumberFormat="1" applyFont="1" applyFill="1" applyBorder="1" applyAlignment="1">
      <alignment horizontal="center" vertical="center"/>
    </xf>
    <xf numFmtId="2" fontId="10" fillId="8" borderId="41" xfId="2" applyNumberFormat="1" applyFont="1" applyFill="1" applyBorder="1" applyAlignment="1">
      <alignment horizontal="center" vertical="center"/>
    </xf>
    <xf numFmtId="2" fontId="10" fillId="8" borderId="40" xfId="2" applyNumberFormat="1" applyFont="1" applyFill="1" applyBorder="1" applyAlignment="1">
      <alignment horizontal="center" vertical="center"/>
    </xf>
    <xf numFmtId="0" fontId="15" fillId="8" borderId="26" xfId="4" applyFont="1" applyFill="1" applyBorder="1" applyAlignment="1">
      <alignment horizontal="center"/>
    </xf>
    <xf numFmtId="0" fontId="15" fillId="8" borderId="43" xfId="4" applyFont="1" applyFill="1" applyBorder="1" applyAlignment="1">
      <alignment horizontal="center"/>
    </xf>
    <xf numFmtId="0" fontId="15" fillId="8" borderId="21" xfId="4" applyFont="1" applyFill="1" applyBorder="1" applyAlignment="1">
      <alignment horizontal="center"/>
    </xf>
    <xf numFmtId="2" fontId="14" fillId="7" borderId="45" xfId="2" applyNumberFormat="1" applyFont="1" applyFill="1" applyBorder="1" applyAlignment="1">
      <alignment horizontal="center" vertical="center"/>
    </xf>
    <xf numFmtId="2" fontId="14" fillId="7" borderId="41" xfId="2" applyNumberFormat="1" applyFont="1" applyFill="1" applyBorder="1" applyAlignment="1">
      <alignment horizontal="center" vertical="center"/>
    </xf>
    <xf numFmtId="2" fontId="14" fillId="7" borderId="18" xfId="2" applyNumberFormat="1" applyFont="1" applyFill="1" applyBorder="1" applyAlignment="1">
      <alignment horizontal="center" vertical="center"/>
    </xf>
    <xf numFmtId="2" fontId="10" fillId="7" borderId="45" xfId="2" applyNumberFormat="1" applyFont="1" applyFill="1" applyBorder="1" applyAlignment="1">
      <alignment horizontal="center" vertical="center"/>
    </xf>
    <xf numFmtId="2" fontId="10" fillId="7" borderId="41" xfId="2" applyNumberFormat="1" applyFont="1" applyFill="1" applyBorder="1" applyAlignment="1">
      <alignment horizontal="center" vertical="center"/>
    </xf>
    <xf numFmtId="2" fontId="10" fillId="7" borderId="40" xfId="2" applyNumberFormat="1" applyFont="1" applyFill="1" applyBorder="1" applyAlignment="1">
      <alignment horizontal="center" vertical="center"/>
    </xf>
    <xf numFmtId="0" fontId="10" fillId="9" borderId="4" xfId="2" applyFont="1" applyFill="1" applyBorder="1" applyAlignment="1">
      <alignment horizontal="center"/>
    </xf>
    <xf numFmtId="0" fontId="0" fillId="9" borderId="4" xfId="0" applyFill="1" applyBorder="1"/>
    <xf numFmtId="0" fontId="10" fillId="9" borderId="47" xfId="2" applyFont="1" applyFill="1" applyBorder="1" applyAlignment="1">
      <alignment horizontal="center"/>
    </xf>
    <xf numFmtId="0" fontId="19" fillId="0" borderId="39" xfId="0" applyFont="1" applyBorder="1"/>
    <xf numFmtId="0" fontId="19" fillId="0" borderId="56" xfId="0" applyFont="1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0" fontId="19" fillId="0" borderId="59" xfId="0" applyFont="1" applyBorder="1"/>
    <xf numFmtId="0" fontId="19" fillId="0" borderId="60" xfId="0" applyFont="1" applyBorder="1"/>
    <xf numFmtId="0" fontId="0" fillId="9" borderId="47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21" fillId="2" borderId="47" xfId="2" applyFont="1" applyBorder="1" applyAlignment="1">
      <alignment horizontal="center"/>
    </xf>
    <xf numFmtId="0" fontId="21" fillId="2" borderId="4" xfId="2" applyFont="1" applyBorder="1" applyAlignment="1">
      <alignment horizontal="center"/>
    </xf>
    <xf numFmtId="0" fontId="21" fillId="2" borderId="34" xfId="2" applyFont="1" applyBorder="1" applyAlignment="1">
      <alignment horizontal="center"/>
    </xf>
    <xf numFmtId="0" fontId="22" fillId="2" borderId="4" xfId="2" applyFont="1" applyBorder="1" applyAlignment="1">
      <alignment horizontal="center"/>
    </xf>
    <xf numFmtId="0" fontId="21" fillId="9" borderId="34" xfId="2" applyFont="1" applyFill="1" applyBorder="1" applyAlignment="1">
      <alignment horizontal="center"/>
    </xf>
    <xf numFmtId="2" fontId="21" fillId="2" borderId="4" xfId="2" applyNumberFormat="1" applyFont="1" applyBorder="1" applyAlignment="1">
      <alignment horizontal="center"/>
    </xf>
    <xf numFmtId="2" fontId="21" fillId="2" borderId="34" xfId="2" applyNumberFormat="1" applyFont="1" applyBorder="1" applyAlignment="1">
      <alignment horizontal="center"/>
    </xf>
    <xf numFmtId="2" fontId="0" fillId="9" borderId="4" xfId="0" applyNumberFormat="1" applyFill="1" applyBorder="1" applyAlignment="1">
      <alignment horizontal="center"/>
    </xf>
    <xf numFmtId="2" fontId="21" fillId="9" borderId="34" xfId="2" applyNumberFormat="1" applyFont="1" applyFill="1" applyBorder="1" applyAlignment="1">
      <alignment horizontal="center"/>
    </xf>
    <xf numFmtId="2" fontId="21" fillId="9" borderId="33" xfId="2" applyNumberFormat="1" applyFont="1" applyFill="1" applyBorder="1" applyAlignment="1">
      <alignment horizontal="center"/>
    </xf>
    <xf numFmtId="0" fontId="8" fillId="0" borderId="60" xfId="0" applyFont="1" applyBorder="1"/>
    <xf numFmtId="0" fontId="8" fillId="0" borderId="49" xfId="0" applyFont="1" applyBorder="1"/>
    <xf numFmtId="0" fontId="8" fillId="0" borderId="61" xfId="0" applyFont="1" applyBorder="1"/>
    <xf numFmtId="0" fontId="0" fillId="0" borderId="0" xfId="0" applyFont="1"/>
    <xf numFmtId="0" fontId="0" fillId="9" borderId="46" xfId="0" applyFill="1" applyBorder="1" applyAlignment="1">
      <alignment horizontal="center"/>
    </xf>
    <xf numFmtId="2" fontId="0" fillId="9" borderId="27" xfId="0" applyNumberFormat="1" applyFill="1" applyBorder="1" applyAlignment="1">
      <alignment horizontal="center"/>
    </xf>
    <xf numFmtId="0" fontId="0" fillId="9" borderId="48" xfId="0" applyFill="1" applyBorder="1" applyAlignment="1">
      <alignment horizontal="center"/>
    </xf>
    <xf numFmtId="2" fontId="23" fillId="9" borderId="8" xfId="0" applyNumberFormat="1" applyFont="1" applyFill="1" applyBorder="1" applyAlignment="1">
      <alignment horizontal="center"/>
    </xf>
    <xf numFmtId="2" fontId="23" fillId="9" borderId="35" xfId="0" applyNumberFormat="1" applyFont="1" applyFill="1" applyBorder="1" applyAlignment="1">
      <alignment horizontal="center"/>
    </xf>
    <xf numFmtId="0" fontId="19" fillId="0" borderId="44" xfId="0" applyFont="1" applyBorder="1" applyAlignment="1">
      <alignment horizontal="center"/>
    </xf>
    <xf numFmtId="0" fontId="19" fillId="0" borderId="57" xfId="0" applyFont="1" applyBorder="1" applyAlignment="1">
      <alignment horizontal="center"/>
    </xf>
    <xf numFmtId="0" fontId="19" fillId="0" borderId="58" xfId="0" applyFont="1" applyBorder="1" applyAlignment="1">
      <alignment horizontal="center"/>
    </xf>
    <xf numFmtId="0" fontId="14" fillId="9" borderId="45" xfId="2" applyFont="1" applyFill="1" applyBorder="1" applyAlignment="1">
      <alignment horizontal="center"/>
    </xf>
    <xf numFmtId="0" fontId="14" fillId="9" borderId="41" xfId="2" applyFont="1" applyFill="1" applyBorder="1" applyAlignment="1">
      <alignment horizontal="center"/>
    </xf>
    <xf numFmtId="0" fontId="14" fillId="9" borderId="18" xfId="2" applyFont="1" applyFill="1" applyBorder="1" applyAlignment="1">
      <alignment horizontal="center"/>
    </xf>
    <xf numFmtId="0" fontId="3" fillId="9" borderId="21" xfId="2" applyFill="1" applyBorder="1" applyAlignment="1">
      <alignment horizontal="center"/>
    </xf>
    <xf numFmtId="0" fontId="3" fillId="9" borderId="4" xfId="2" applyFill="1" applyBorder="1" applyAlignment="1">
      <alignment horizontal="center"/>
    </xf>
    <xf numFmtId="0" fontId="3" fillId="9" borderId="26" xfId="2" applyFill="1" applyBorder="1" applyAlignment="1">
      <alignment horizontal="center"/>
    </xf>
    <xf numFmtId="0" fontId="3" fillId="9" borderId="27" xfId="2" applyFill="1" applyBorder="1" applyAlignment="1">
      <alignment horizontal="center"/>
    </xf>
    <xf numFmtId="0" fontId="3" fillId="9" borderId="36" xfId="2" applyFill="1" applyBorder="1" applyAlignment="1">
      <alignment horizontal="center"/>
    </xf>
    <xf numFmtId="0" fontId="10" fillId="9" borderId="45" xfId="2" applyFont="1" applyFill="1" applyBorder="1" applyAlignment="1">
      <alignment horizontal="center"/>
    </xf>
    <xf numFmtId="0" fontId="10" fillId="9" borderId="41" xfId="2" applyFont="1" applyFill="1" applyBorder="1" applyAlignment="1">
      <alignment horizontal="center"/>
    </xf>
    <xf numFmtId="0" fontId="10" fillId="9" borderId="40" xfId="2" applyFont="1" applyFill="1" applyBorder="1" applyAlignment="1">
      <alignment horizontal="center"/>
    </xf>
    <xf numFmtId="0" fontId="3" fillId="9" borderId="34" xfId="2" applyFill="1" applyBorder="1" applyAlignment="1">
      <alignment horizontal="center"/>
    </xf>
    <xf numFmtId="0" fontId="3" fillId="9" borderId="19" xfId="2" applyFill="1" applyBorder="1" applyAlignment="1">
      <alignment horizontal="center"/>
    </xf>
    <xf numFmtId="0" fontId="3" fillId="9" borderId="35" xfId="2" applyFill="1" applyBorder="1" applyAlignment="1">
      <alignment horizontal="center"/>
    </xf>
    <xf numFmtId="0" fontId="23" fillId="10" borderId="47" xfId="0" applyFont="1" applyFill="1" applyBorder="1" applyAlignment="1">
      <alignment horizontal="center"/>
    </xf>
    <xf numFmtId="2" fontId="23" fillId="10" borderId="4" xfId="0" applyNumberFormat="1" applyFont="1" applyFill="1" applyBorder="1" applyAlignment="1">
      <alignment horizontal="center"/>
    </xf>
    <xf numFmtId="2" fontId="21" fillId="10" borderId="34" xfId="2" applyNumberFormat="1" applyFont="1" applyFill="1" applyBorder="1" applyAlignment="1">
      <alignment horizontal="center"/>
    </xf>
    <xf numFmtId="0" fontId="23" fillId="10" borderId="46" xfId="0" applyFont="1" applyFill="1" applyBorder="1" applyAlignment="1">
      <alignment horizontal="center"/>
    </xf>
    <xf numFmtId="2" fontId="23" fillId="10" borderId="27" xfId="0" applyNumberFormat="1" applyFont="1" applyFill="1" applyBorder="1" applyAlignment="1">
      <alignment horizontal="center"/>
    </xf>
    <xf numFmtId="2" fontId="21" fillId="10" borderId="33" xfId="2" applyNumberFormat="1" applyFont="1" applyFill="1" applyBorder="1" applyAlignment="1">
      <alignment horizontal="center"/>
    </xf>
    <xf numFmtId="0" fontId="23" fillId="10" borderId="48" xfId="0" applyFont="1" applyFill="1" applyBorder="1" applyAlignment="1">
      <alignment horizontal="center"/>
    </xf>
    <xf numFmtId="2" fontId="23" fillId="10" borderId="35" xfId="0" applyNumberFormat="1" applyFont="1" applyFill="1" applyBorder="1" applyAlignment="1">
      <alignment horizontal="center"/>
    </xf>
    <xf numFmtId="2" fontId="23" fillId="10" borderId="8" xfId="0" applyNumberFormat="1" applyFont="1" applyFill="1" applyBorder="1" applyAlignment="1">
      <alignment horizontal="center"/>
    </xf>
    <xf numFmtId="2" fontId="3" fillId="9" borderId="4" xfId="2" applyNumberFormat="1" applyFill="1" applyBorder="1" applyAlignment="1">
      <alignment horizontal="center"/>
    </xf>
    <xf numFmtId="2" fontId="3" fillId="9" borderId="34" xfId="2" applyNumberFormat="1" applyFill="1" applyBorder="1" applyAlignment="1">
      <alignment horizontal="center"/>
    </xf>
    <xf numFmtId="2" fontId="3" fillId="9" borderId="35" xfId="2" applyNumberFormat="1" applyFill="1" applyBorder="1" applyAlignment="1">
      <alignment horizontal="center"/>
    </xf>
    <xf numFmtId="2" fontId="16" fillId="9" borderId="5" xfId="2" applyNumberFormat="1" applyFont="1" applyFill="1" applyBorder="1" applyAlignment="1">
      <alignment horizontal="center"/>
    </xf>
    <xf numFmtId="2" fontId="16" fillId="2" borderId="4" xfId="2" applyNumberFormat="1" applyFont="1" applyBorder="1" applyAlignment="1">
      <alignment horizontal="center"/>
    </xf>
    <xf numFmtId="0" fontId="8" fillId="0" borderId="47" xfId="0" applyFont="1" applyBorder="1"/>
    <xf numFmtId="0" fontId="8" fillId="0" borderId="47" xfId="0" applyFont="1" applyFill="1" applyBorder="1"/>
    <xf numFmtId="0" fontId="8" fillId="0" borderId="48" xfId="0" applyFont="1" applyFill="1" applyBorder="1"/>
    <xf numFmtId="0" fontId="8" fillId="0" borderId="53" xfId="0" applyFont="1" applyBorder="1"/>
    <xf numFmtId="0" fontId="8" fillId="0" borderId="28" xfId="0" applyFont="1" applyBorder="1" applyAlignment="1">
      <alignment vertical="center"/>
    </xf>
    <xf numFmtId="0" fontId="3" fillId="9" borderId="6" xfId="2" applyFill="1" applyBorder="1" applyAlignment="1">
      <alignment horizontal="center"/>
    </xf>
    <xf numFmtId="0" fontId="3" fillId="9" borderId="54" xfId="2" applyFill="1" applyBorder="1" applyAlignment="1">
      <alignment horizontal="center"/>
    </xf>
    <xf numFmtId="2" fontId="16" fillId="9" borderId="4" xfId="2" applyNumberFormat="1" applyFont="1" applyFill="1" applyBorder="1" applyAlignment="1">
      <alignment horizontal="center"/>
    </xf>
    <xf numFmtId="0" fontId="0" fillId="9" borderId="35" xfId="0" applyFill="1" applyBorder="1"/>
    <xf numFmtId="0" fontId="14" fillId="0" borderId="29" xfId="2" applyFont="1" applyFill="1" applyBorder="1" applyAlignment="1">
      <alignment horizontal="center" vertical="center"/>
    </xf>
    <xf numFmtId="0" fontId="14" fillId="0" borderId="30" xfId="2" applyFont="1" applyFill="1" applyBorder="1" applyAlignment="1">
      <alignment horizontal="center" vertical="center"/>
    </xf>
    <xf numFmtId="0" fontId="0" fillId="10" borderId="4" xfId="0" applyFill="1" applyBorder="1"/>
    <xf numFmtId="0" fontId="0" fillId="10" borderId="35" xfId="0" applyFill="1" applyBorder="1"/>
    <xf numFmtId="0" fontId="3" fillId="11" borderId="5" xfId="2" applyFill="1" applyBorder="1" applyAlignment="1">
      <alignment horizontal="center"/>
    </xf>
    <xf numFmtId="0" fontId="3" fillId="9" borderId="8" xfId="2" applyFill="1" applyBorder="1" applyAlignment="1">
      <alignment horizontal="center"/>
    </xf>
    <xf numFmtId="0" fontId="3" fillId="9" borderId="20" xfId="2" applyFill="1" applyBorder="1" applyAlignment="1">
      <alignment horizontal="center"/>
    </xf>
    <xf numFmtId="0" fontId="3" fillId="9" borderId="55" xfId="2" applyFill="1" applyBorder="1" applyAlignment="1">
      <alignment horizontal="center"/>
    </xf>
    <xf numFmtId="2" fontId="3" fillId="9" borderId="6" xfId="2" applyNumberFormat="1" applyFill="1" applyBorder="1" applyAlignment="1">
      <alignment horizontal="center"/>
    </xf>
    <xf numFmtId="2" fontId="3" fillId="9" borderId="54" xfId="2" applyNumberFormat="1" applyFill="1" applyBorder="1" applyAlignment="1">
      <alignment horizontal="center"/>
    </xf>
    <xf numFmtId="0" fontId="0" fillId="0" borderId="12" xfId="0" applyBorder="1"/>
    <xf numFmtId="0" fontId="14" fillId="9" borderId="35" xfId="2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10" fillId="9" borderId="35" xfId="2" applyFont="1" applyFill="1" applyBorder="1" applyAlignment="1">
      <alignment horizontal="center"/>
    </xf>
    <xf numFmtId="0" fontId="10" fillId="9" borderId="8" xfId="2" applyFont="1" applyFill="1" applyBorder="1" applyAlignment="1">
      <alignment horizontal="center"/>
    </xf>
    <xf numFmtId="0" fontId="3" fillId="2" borderId="20" xfId="2" applyBorder="1" applyAlignment="1">
      <alignment horizontal="center"/>
    </xf>
    <xf numFmtId="0" fontId="3" fillId="2" borderId="55" xfId="2" applyBorder="1" applyAlignment="1">
      <alignment horizontal="center"/>
    </xf>
    <xf numFmtId="2" fontId="3" fillId="2" borderId="6" xfId="2" applyNumberFormat="1" applyBorder="1" applyAlignment="1">
      <alignment horizontal="center"/>
    </xf>
    <xf numFmtId="2" fontId="3" fillId="2" borderId="54" xfId="2" applyNumberFormat="1" applyBorder="1" applyAlignment="1">
      <alignment horizontal="center"/>
    </xf>
  </cellXfs>
  <cellStyles count="7">
    <cellStyle name="Bad" xfId="3" builtinId="27"/>
    <cellStyle name="Calculation" xfId="5" builtinId="22"/>
    <cellStyle name="Good" xfId="2" builtinId="26"/>
    <cellStyle name="Heading 1" xfId="1" builtinId="16"/>
    <cellStyle name="Neutral" xfId="4" builtinId="28"/>
    <cellStyle name="Normal" xfId="0" builtinId="0"/>
    <cellStyle name="Note" xfId="6" builtinId="1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138"/>
  <sheetViews>
    <sheetView topLeftCell="A81" workbookViewId="0">
      <selection activeCell="C87" sqref="C87"/>
    </sheetView>
  </sheetViews>
  <sheetFormatPr defaultColWidth="11.42578125" defaultRowHeight="15" x14ac:dyDescent="0.25"/>
  <cols>
    <col min="3" max="3" width="32.140625" customWidth="1"/>
    <col min="4" max="4" width="26.28515625" customWidth="1"/>
    <col min="6" max="6" width="20.28515625" customWidth="1"/>
    <col min="7" max="7" width="16.5703125" customWidth="1"/>
    <col min="8" max="8" width="18.7109375" customWidth="1"/>
    <col min="9" max="9" width="14" customWidth="1"/>
    <col min="11" max="11" width="31.7109375" customWidth="1"/>
  </cols>
  <sheetData>
    <row r="4" spans="3:11" ht="15.75" thickBot="1" x14ac:dyDescent="0.3"/>
    <row r="5" spans="3:11" ht="24" thickBot="1" x14ac:dyDescent="0.4">
      <c r="C5" s="13" t="s">
        <v>20</v>
      </c>
      <c r="F5" s="112" t="s">
        <v>23</v>
      </c>
      <c r="G5" s="113" t="s">
        <v>24</v>
      </c>
      <c r="H5" s="113" t="s">
        <v>25</v>
      </c>
      <c r="I5" s="114" t="s">
        <v>26</v>
      </c>
    </row>
    <row r="6" spans="3:11" ht="16.5" thickTop="1" thickBot="1" x14ac:dyDescent="0.3"/>
    <row r="7" spans="3:11" x14ac:dyDescent="0.25">
      <c r="C7" s="188" t="s">
        <v>0</v>
      </c>
      <c r="D7" s="183" t="s">
        <v>55</v>
      </c>
      <c r="E7" s="184"/>
      <c r="F7" s="185" t="s">
        <v>56</v>
      </c>
      <c r="G7" s="186"/>
      <c r="H7" s="186"/>
      <c r="I7" s="187"/>
    </row>
    <row r="8" spans="3:11" ht="15.75" thickBot="1" x14ac:dyDescent="0.3">
      <c r="C8" s="189"/>
      <c r="D8" s="26" t="s">
        <v>7</v>
      </c>
      <c r="E8" s="27" t="s">
        <v>8</v>
      </c>
      <c r="F8" s="28" t="s">
        <v>9</v>
      </c>
      <c r="G8" s="29" t="s">
        <v>10</v>
      </c>
      <c r="H8" s="29" t="s">
        <v>11</v>
      </c>
      <c r="I8" s="30" t="s">
        <v>12</v>
      </c>
    </row>
    <row r="9" spans="3:11" x14ac:dyDescent="0.25">
      <c r="C9" s="6" t="s">
        <v>1</v>
      </c>
      <c r="D9" s="31">
        <v>44000</v>
      </c>
      <c r="E9" s="32">
        <v>115000</v>
      </c>
      <c r="F9" s="32">
        <v>103000</v>
      </c>
      <c r="G9" s="32">
        <v>227000</v>
      </c>
      <c r="H9" s="32">
        <v>225200</v>
      </c>
      <c r="I9" s="32">
        <v>130000</v>
      </c>
    </row>
    <row r="10" spans="3:11" x14ac:dyDescent="0.25">
      <c r="C10" s="6" t="s">
        <v>2</v>
      </c>
      <c r="D10" s="45"/>
      <c r="E10" s="33">
        <f>D12*0.1</f>
        <v>5000</v>
      </c>
      <c r="F10" s="33">
        <f>D12*0.1</f>
        <v>5000</v>
      </c>
      <c r="G10" s="33">
        <f>D12*0.5</f>
        <v>25000</v>
      </c>
      <c r="H10" s="33">
        <f>D12*0.2</f>
        <v>10000</v>
      </c>
      <c r="I10" s="33">
        <f>D12*0.1</f>
        <v>5000</v>
      </c>
      <c r="J10">
        <f>SUM(D10:I10)</f>
        <v>50000</v>
      </c>
      <c r="K10" s="25" t="s">
        <v>54</v>
      </c>
    </row>
    <row r="11" spans="3:11" x14ac:dyDescent="0.25">
      <c r="C11" s="6" t="s">
        <v>3</v>
      </c>
      <c r="D11" s="45">
        <f>E12*0.05</f>
        <v>6000</v>
      </c>
      <c r="E11" s="33"/>
      <c r="F11" s="33">
        <f>E12*0.15</f>
        <v>18000</v>
      </c>
      <c r="G11" s="33">
        <f>E12*0.3</f>
        <v>36000</v>
      </c>
      <c r="H11" s="33">
        <f>E12*0.5</f>
        <v>60000</v>
      </c>
      <c r="I11" s="33"/>
      <c r="J11">
        <f>SUM(D11:I11)</f>
        <v>120000</v>
      </c>
    </row>
    <row r="12" spans="3:11" ht="15.75" thickBot="1" x14ac:dyDescent="0.3">
      <c r="C12" s="6" t="s">
        <v>4</v>
      </c>
      <c r="D12" s="46">
        <v>50000</v>
      </c>
      <c r="E12" s="34">
        <v>120000</v>
      </c>
      <c r="F12" s="35">
        <f>SUM(F9:F11)</f>
        <v>126000</v>
      </c>
      <c r="G12" s="36">
        <f t="shared" ref="G12:I12" si="0">SUM(G9:G11)</f>
        <v>288000</v>
      </c>
      <c r="H12" s="36">
        <f t="shared" si="0"/>
        <v>295200</v>
      </c>
      <c r="I12" s="36">
        <f t="shared" si="0"/>
        <v>135000</v>
      </c>
    </row>
    <row r="13" spans="3:11" ht="15.75" thickBot="1" x14ac:dyDescent="0.3">
      <c r="C13" s="6" t="s">
        <v>5</v>
      </c>
      <c r="D13" s="31"/>
      <c r="E13" s="32"/>
      <c r="F13" s="37" t="s">
        <v>16</v>
      </c>
      <c r="G13" s="37" t="s">
        <v>17</v>
      </c>
      <c r="H13" s="37" t="s">
        <v>18</v>
      </c>
      <c r="I13" s="37">
        <v>100</v>
      </c>
      <c r="J13" s="10" t="s">
        <v>19</v>
      </c>
    </row>
    <row r="14" spans="3:11" ht="16.5" thickBot="1" x14ac:dyDescent="0.3">
      <c r="C14" s="6" t="s">
        <v>6</v>
      </c>
      <c r="D14" s="38"/>
      <c r="E14" s="39"/>
      <c r="F14" s="40">
        <f>24000+18000</f>
        <v>42000</v>
      </c>
      <c r="G14" s="40">
        <f>18600+26400</f>
        <v>45000</v>
      </c>
      <c r="H14" s="40">
        <f>19200+2000+7200+400</f>
        <v>28800</v>
      </c>
      <c r="I14" s="40">
        <f>((14000 * 160) + (2000 * 230)) /I13</f>
        <v>27000</v>
      </c>
      <c r="J14" t="s">
        <v>21</v>
      </c>
      <c r="K14" s="22" t="s">
        <v>22</v>
      </c>
    </row>
    <row r="15" spans="3:11" ht="16.5" thickBot="1" x14ac:dyDescent="0.3">
      <c r="C15" s="7" t="s">
        <v>13</v>
      </c>
      <c r="D15" s="38"/>
      <c r="E15" s="41"/>
      <c r="F15" s="42">
        <f>F12/F14</f>
        <v>3</v>
      </c>
      <c r="G15" s="43">
        <f t="shared" ref="G15:I15" si="1">G12/G14</f>
        <v>6.4</v>
      </c>
      <c r="H15" s="43">
        <f t="shared" si="1"/>
        <v>10.25</v>
      </c>
      <c r="I15" s="44">
        <f t="shared" si="1"/>
        <v>5</v>
      </c>
    </row>
    <row r="18" spans="3:10" x14ac:dyDescent="0.25">
      <c r="C18" s="21" t="s">
        <v>57</v>
      </c>
    </row>
    <row r="20" spans="3:10" ht="15.75" thickBot="1" x14ac:dyDescent="0.3"/>
    <row r="21" spans="3:10" x14ac:dyDescent="0.25">
      <c r="D21" s="8" t="s">
        <v>14</v>
      </c>
    </row>
    <row r="22" spans="3:10" ht="15.75" thickBot="1" x14ac:dyDescent="0.3">
      <c r="D22" s="9" t="s">
        <v>15</v>
      </c>
    </row>
    <row r="26" spans="3:10" ht="20.25" thickBot="1" x14ac:dyDescent="0.35">
      <c r="C26" s="11" t="s">
        <v>27</v>
      </c>
    </row>
    <row r="27" spans="3:10" ht="15.75" thickTop="1" x14ac:dyDescent="0.25"/>
    <row r="28" spans="3:10" ht="15.75" x14ac:dyDescent="0.25">
      <c r="E28" s="193" t="s">
        <v>28</v>
      </c>
      <c r="F28" s="194"/>
      <c r="G28" s="195"/>
      <c r="H28" s="190" t="s">
        <v>29</v>
      </c>
      <c r="I28" s="191"/>
      <c r="J28" s="192"/>
    </row>
    <row r="29" spans="3:10" ht="15.75" x14ac:dyDescent="0.25">
      <c r="E29" s="49" t="s">
        <v>30</v>
      </c>
      <c r="F29" s="49" t="s">
        <v>31</v>
      </c>
      <c r="G29" s="49" t="s">
        <v>32</v>
      </c>
      <c r="H29" s="50" t="s">
        <v>30</v>
      </c>
      <c r="I29" s="50" t="s">
        <v>34</v>
      </c>
      <c r="J29" s="50" t="s">
        <v>33</v>
      </c>
    </row>
    <row r="30" spans="3:10" x14ac:dyDescent="0.25">
      <c r="D30" s="1" t="s">
        <v>35</v>
      </c>
      <c r="E30" s="51">
        <v>24000</v>
      </c>
      <c r="F30" s="51">
        <v>21</v>
      </c>
      <c r="G30" s="51">
        <f>E30*F30</f>
        <v>504000</v>
      </c>
      <c r="H30" s="52">
        <v>18000</v>
      </c>
      <c r="I30" s="52">
        <v>22</v>
      </c>
      <c r="J30" s="52">
        <f>H30*I30</f>
        <v>396000</v>
      </c>
    </row>
    <row r="31" spans="3:10" x14ac:dyDescent="0.25">
      <c r="D31" s="1"/>
      <c r="E31" s="53"/>
      <c r="F31" s="53"/>
      <c r="G31" s="53"/>
      <c r="H31" s="52"/>
      <c r="I31" s="52"/>
      <c r="J31" s="52"/>
    </row>
    <row r="32" spans="3:10" x14ac:dyDescent="0.25">
      <c r="D32" s="1" t="s">
        <v>58</v>
      </c>
      <c r="E32" s="53">
        <v>24000</v>
      </c>
      <c r="F32" s="53">
        <f>F15</f>
        <v>3</v>
      </c>
      <c r="G32" s="53">
        <f>E32*F32</f>
        <v>72000</v>
      </c>
      <c r="H32" s="52">
        <v>18000</v>
      </c>
      <c r="I32" s="52">
        <f>F15</f>
        <v>3</v>
      </c>
      <c r="J32" s="52">
        <f t="shared" ref="J32" si="2">H32*I32</f>
        <v>54000</v>
      </c>
    </row>
    <row r="33" spans="3:11" ht="15.75" thickBot="1" x14ac:dyDescent="0.3">
      <c r="D33" s="1"/>
      <c r="E33" s="53"/>
      <c r="F33" s="54"/>
      <c r="G33" s="53"/>
      <c r="H33" s="52"/>
      <c r="I33" s="55"/>
      <c r="J33" s="52"/>
    </row>
    <row r="34" spans="3:11" ht="19.5" thickBot="1" x14ac:dyDescent="0.35">
      <c r="D34" s="1" t="s">
        <v>36</v>
      </c>
      <c r="E34" s="56">
        <v>24000</v>
      </c>
      <c r="F34" s="57">
        <f>G34/E34</f>
        <v>24</v>
      </c>
      <c r="G34" s="58">
        <f>SUM(G30:G32)</f>
        <v>576000</v>
      </c>
      <c r="H34" s="59">
        <v>18000</v>
      </c>
      <c r="I34" s="60">
        <f>J34/H34</f>
        <v>25</v>
      </c>
      <c r="J34" s="61">
        <f>SUM(J30:J32)</f>
        <v>450000</v>
      </c>
    </row>
    <row r="39" spans="3:11" ht="20.25" thickBot="1" x14ac:dyDescent="0.35">
      <c r="C39" s="11" t="s">
        <v>37</v>
      </c>
      <c r="D39" s="18" t="s">
        <v>38</v>
      </c>
    </row>
    <row r="40" spans="3:11" ht="16.5" thickTop="1" thickBot="1" x14ac:dyDescent="0.3"/>
    <row r="41" spans="3:11" ht="18.75" customHeight="1" x14ac:dyDescent="0.25">
      <c r="D41" s="204" t="s">
        <v>28</v>
      </c>
      <c r="E41" s="206" t="s">
        <v>40</v>
      </c>
      <c r="F41" s="199"/>
      <c r="G41" s="207"/>
      <c r="H41" s="75"/>
      <c r="I41" s="208" t="s">
        <v>41</v>
      </c>
      <c r="J41" s="202"/>
      <c r="K41" s="203"/>
    </row>
    <row r="42" spans="3:11" ht="16.5" thickBot="1" x14ac:dyDescent="0.3">
      <c r="D42" s="205"/>
      <c r="E42" s="62" t="s">
        <v>30</v>
      </c>
      <c r="F42" s="62" t="s">
        <v>31</v>
      </c>
      <c r="G42" s="62" t="s">
        <v>32</v>
      </c>
      <c r="H42" s="63"/>
      <c r="I42" s="54" t="s">
        <v>30</v>
      </c>
      <c r="J42" s="54" t="s">
        <v>34</v>
      </c>
      <c r="K42" s="64" t="s">
        <v>33</v>
      </c>
    </row>
    <row r="43" spans="3:11" x14ac:dyDescent="0.25">
      <c r="D43" s="5" t="s">
        <v>39</v>
      </c>
      <c r="E43" s="65">
        <v>12000</v>
      </c>
      <c r="F43" s="66">
        <v>21</v>
      </c>
      <c r="G43" s="67">
        <f>E43*F43</f>
        <v>252000</v>
      </c>
      <c r="H43" s="47" t="s">
        <v>41</v>
      </c>
      <c r="I43" s="65">
        <v>18600</v>
      </c>
      <c r="J43" s="66">
        <f>F45</f>
        <v>23</v>
      </c>
      <c r="K43" s="68">
        <f>I43*J43</f>
        <v>427800</v>
      </c>
    </row>
    <row r="44" spans="3:11" ht="15.75" thickBot="1" x14ac:dyDescent="0.3">
      <c r="D44" s="6" t="s">
        <v>40</v>
      </c>
      <c r="E44" s="65">
        <v>24000</v>
      </c>
      <c r="F44" s="69">
        <f>F34</f>
        <v>24</v>
      </c>
      <c r="G44" s="67">
        <f>E44*F44</f>
        <v>576000</v>
      </c>
      <c r="H44" s="48" t="s">
        <v>42</v>
      </c>
      <c r="I44" s="65">
        <v>17400</v>
      </c>
      <c r="J44" s="66">
        <f>F45</f>
        <v>23</v>
      </c>
      <c r="K44" s="68">
        <f>I44*J44</f>
        <v>400200</v>
      </c>
    </row>
    <row r="45" spans="3:11" ht="19.5" thickBot="1" x14ac:dyDescent="0.35">
      <c r="D45" s="7" t="s">
        <v>43</v>
      </c>
      <c r="E45" s="70">
        <f>SUM(E43:E44)</f>
        <v>36000</v>
      </c>
      <c r="F45" s="57">
        <f>(G43+G44)/(E43+E44)</f>
        <v>23</v>
      </c>
      <c r="G45" s="70">
        <f>E45*F45</f>
        <v>828000</v>
      </c>
      <c r="H45" s="71" t="s">
        <v>43</v>
      </c>
      <c r="I45" s="72">
        <f>SUM(I43:I44)</f>
        <v>36000</v>
      </c>
      <c r="J45" s="73">
        <f>F45</f>
        <v>23</v>
      </c>
      <c r="K45" s="74">
        <f>I45*J45</f>
        <v>828000</v>
      </c>
    </row>
    <row r="46" spans="3:11" x14ac:dyDescent="0.25">
      <c r="D46" s="1"/>
      <c r="E46" s="16"/>
      <c r="F46" s="16"/>
      <c r="G46" s="16"/>
      <c r="I46" s="16"/>
      <c r="J46" s="16"/>
      <c r="K46" s="16"/>
    </row>
    <row r="48" spans="3:11" ht="15.75" thickBot="1" x14ac:dyDescent="0.3"/>
    <row r="49" spans="3:11" ht="18.75" customHeight="1" x14ac:dyDescent="0.25">
      <c r="D49" s="204" t="s">
        <v>29</v>
      </c>
      <c r="E49" s="206" t="s">
        <v>40</v>
      </c>
      <c r="F49" s="199"/>
      <c r="G49" s="207"/>
      <c r="H49" s="14"/>
      <c r="I49" s="208" t="s">
        <v>41</v>
      </c>
      <c r="J49" s="202"/>
      <c r="K49" s="203"/>
    </row>
    <row r="50" spans="3:11" ht="16.5" thickBot="1" x14ac:dyDescent="0.3">
      <c r="D50" s="205"/>
      <c r="E50" s="62" t="s">
        <v>30</v>
      </c>
      <c r="F50" s="62" t="s">
        <v>31</v>
      </c>
      <c r="G50" s="62" t="s">
        <v>32</v>
      </c>
      <c r="H50" s="63"/>
      <c r="I50" s="54" t="s">
        <v>30</v>
      </c>
      <c r="J50" s="54" t="s">
        <v>34</v>
      </c>
      <c r="K50" s="64" t="s">
        <v>33</v>
      </c>
    </row>
    <row r="51" spans="3:11" x14ac:dyDescent="0.25">
      <c r="D51" s="5" t="s">
        <v>39</v>
      </c>
      <c r="E51" s="65">
        <v>36000</v>
      </c>
      <c r="F51" s="66">
        <v>26.5</v>
      </c>
      <c r="G51" s="67">
        <f>E51*F51</f>
        <v>954000</v>
      </c>
      <c r="H51" s="47" t="s">
        <v>41</v>
      </c>
      <c r="I51" s="65">
        <v>26400</v>
      </c>
      <c r="J51" s="66">
        <f>F53</f>
        <v>26</v>
      </c>
      <c r="K51" s="68">
        <f>I51*J51</f>
        <v>686400</v>
      </c>
    </row>
    <row r="52" spans="3:11" ht="15.75" thickBot="1" x14ac:dyDescent="0.3">
      <c r="D52" s="6" t="s">
        <v>40</v>
      </c>
      <c r="E52" s="65">
        <v>18000</v>
      </c>
      <c r="F52" s="69">
        <v>25</v>
      </c>
      <c r="G52" s="67">
        <f>E52*F52</f>
        <v>450000</v>
      </c>
      <c r="H52" s="48" t="s">
        <v>42</v>
      </c>
      <c r="I52" s="65">
        <v>27500</v>
      </c>
      <c r="J52" s="66">
        <f>F53</f>
        <v>26</v>
      </c>
      <c r="K52" s="68">
        <f>I52*J52</f>
        <v>715000</v>
      </c>
    </row>
    <row r="53" spans="3:11" ht="19.5" thickBot="1" x14ac:dyDescent="0.35">
      <c r="D53" s="7" t="s">
        <v>43</v>
      </c>
      <c r="E53" s="70">
        <f>SUM(E51:E52)</f>
        <v>54000</v>
      </c>
      <c r="F53" s="57">
        <f>(G51+G52)/(E51+E52)</f>
        <v>26</v>
      </c>
      <c r="G53" s="70">
        <f>E53*F53</f>
        <v>1404000</v>
      </c>
      <c r="H53" s="71" t="s">
        <v>43</v>
      </c>
      <c r="I53" s="72">
        <f>SUM(I51:I52)</f>
        <v>53900</v>
      </c>
      <c r="J53" s="73">
        <f>F53</f>
        <v>26</v>
      </c>
      <c r="K53" s="74">
        <f>I53*J53</f>
        <v>1401400</v>
      </c>
    </row>
    <row r="54" spans="3:11" x14ac:dyDescent="0.25">
      <c r="H54" s="21" t="s">
        <v>44</v>
      </c>
      <c r="I54">
        <v>100</v>
      </c>
      <c r="J54">
        <v>26</v>
      </c>
      <c r="K54">
        <v>2600</v>
      </c>
    </row>
    <row r="57" spans="3:11" ht="20.25" thickBot="1" x14ac:dyDescent="0.35">
      <c r="C57" s="11" t="s">
        <v>45</v>
      </c>
    </row>
    <row r="58" spans="3:11" ht="15.75" thickTop="1" x14ac:dyDescent="0.25"/>
    <row r="60" spans="3:11" ht="15.75" x14ac:dyDescent="0.25">
      <c r="D60" s="23"/>
      <c r="E60" s="93" t="s">
        <v>30</v>
      </c>
      <c r="F60" s="93" t="s">
        <v>46</v>
      </c>
      <c r="G60" s="93" t="s">
        <v>33</v>
      </c>
    </row>
    <row r="61" spans="3:11" ht="15.75" x14ac:dyDescent="0.25">
      <c r="D61" s="24" t="s">
        <v>47</v>
      </c>
      <c r="E61" s="53">
        <v>18600</v>
      </c>
      <c r="F61" s="53">
        <f>F45</f>
        <v>23</v>
      </c>
      <c r="G61" s="53">
        <f>E61*F61</f>
        <v>427800</v>
      </c>
    </row>
    <row r="62" spans="3:11" ht="15.75" x14ac:dyDescent="0.25">
      <c r="D62" s="23" t="s">
        <v>48</v>
      </c>
      <c r="E62" s="53">
        <v>26400</v>
      </c>
      <c r="F62" s="53">
        <f>F53</f>
        <v>26</v>
      </c>
      <c r="G62" s="53">
        <f t="shared" ref="G62:G64" si="3">E62*F62</f>
        <v>686400</v>
      </c>
    </row>
    <row r="63" spans="3:11" ht="15.75" x14ac:dyDescent="0.25">
      <c r="D63" s="23" t="s">
        <v>49</v>
      </c>
      <c r="E63" s="53">
        <v>32320</v>
      </c>
      <c r="F63" s="53">
        <v>15</v>
      </c>
      <c r="G63" s="53">
        <f t="shared" si="3"/>
        <v>484800</v>
      </c>
    </row>
    <row r="64" spans="3:11" ht="16.5" thickBot="1" x14ac:dyDescent="0.3">
      <c r="D64" s="23" t="s">
        <v>50</v>
      </c>
      <c r="E64" s="53">
        <f>G14</f>
        <v>45000</v>
      </c>
      <c r="F64" s="54">
        <f>G15</f>
        <v>6.4</v>
      </c>
      <c r="G64" s="53">
        <f t="shared" si="3"/>
        <v>288000</v>
      </c>
    </row>
    <row r="65" spans="3:11" ht="19.5" thickBot="1" x14ac:dyDescent="0.35">
      <c r="D65" s="23" t="s">
        <v>51</v>
      </c>
      <c r="E65" s="94">
        <v>37000</v>
      </c>
      <c r="F65" s="57">
        <f>G65/E65</f>
        <v>51</v>
      </c>
      <c r="G65" s="58">
        <f>SUM(G61:G64)</f>
        <v>1887000</v>
      </c>
    </row>
    <row r="67" spans="3:11" x14ac:dyDescent="0.25">
      <c r="C67" s="17" t="s">
        <v>52</v>
      </c>
    </row>
    <row r="70" spans="3:11" ht="21.75" thickBot="1" x14ac:dyDescent="0.4">
      <c r="C70" s="12" t="s">
        <v>53</v>
      </c>
    </row>
    <row r="71" spans="3:11" ht="16.5" thickTop="1" thickBot="1" x14ac:dyDescent="0.3"/>
    <row r="72" spans="3:11" ht="18.75" x14ac:dyDescent="0.3">
      <c r="D72" s="19" t="s">
        <v>24</v>
      </c>
      <c r="E72" s="209" t="s">
        <v>40</v>
      </c>
      <c r="F72" s="210"/>
      <c r="G72" s="211"/>
      <c r="H72" s="92"/>
      <c r="I72" s="212" t="s">
        <v>41</v>
      </c>
      <c r="J72" s="213"/>
      <c r="K72" s="214"/>
    </row>
    <row r="73" spans="3:11" ht="16.5" thickBot="1" x14ac:dyDescent="0.3">
      <c r="D73" s="15"/>
      <c r="E73" s="62" t="s">
        <v>30</v>
      </c>
      <c r="F73" s="62" t="s">
        <v>31</v>
      </c>
      <c r="G73" s="62" t="s">
        <v>32</v>
      </c>
      <c r="H73" s="63"/>
      <c r="I73" s="54" t="s">
        <v>30</v>
      </c>
      <c r="J73" s="54" t="s">
        <v>34</v>
      </c>
      <c r="K73" s="64" t="s">
        <v>33</v>
      </c>
    </row>
    <row r="74" spans="3:11" x14ac:dyDescent="0.25">
      <c r="D74" s="5" t="s">
        <v>39</v>
      </c>
      <c r="E74" s="65">
        <v>1000</v>
      </c>
      <c r="F74" s="66">
        <f>F65</f>
        <v>51</v>
      </c>
      <c r="G74" s="67">
        <f>E74*F74</f>
        <v>51000</v>
      </c>
      <c r="H74" s="47" t="s">
        <v>41</v>
      </c>
      <c r="I74" s="65">
        <f>22000+4300+9500+500</f>
        <v>36300</v>
      </c>
      <c r="J74" s="66">
        <f>F76</f>
        <v>51</v>
      </c>
      <c r="K74" s="68">
        <f>I74*J74</f>
        <v>1851300</v>
      </c>
    </row>
    <row r="75" spans="3:11" ht="15.75" thickBot="1" x14ac:dyDescent="0.3">
      <c r="D75" s="6" t="s">
        <v>40</v>
      </c>
      <c r="E75" s="65">
        <v>37000</v>
      </c>
      <c r="F75" s="69">
        <f>F65</f>
        <v>51</v>
      </c>
      <c r="G75" s="67">
        <f>E75*F75</f>
        <v>1887000</v>
      </c>
      <c r="H75" s="48" t="s">
        <v>42</v>
      </c>
      <c r="I75" s="65">
        <v>1710</v>
      </c>
      <c r="J75" s="66">
        <f>F76</f>
        <v>51</v>
      </c>
      <c r="K75" s="68">
        <f>I75*J75</f>
        <v>87210</v>
      </c>
    </row>
    <row r="76" spans="3:11" ht="19.5" thickBot="1" x14ac:dyDescent="0.35">
      <c r="D76" s="7" t="s">
        <v>43</v>
      </c>
      <c r="E76" s="70">
        <f>SUM(E74:E75)</f>
        <v>38000</v>
      </c>
      <c r="F76" s="57">
        <f>(G74+G75)/(E74+E75)</f>
        <v>51</v>
      </c>
      <c r="G76" s="67">
        <f>E76*F76</f>
        <v>1938000</v>
      </c>
      <c r="H76" s="71" t="s">
        <v>43</v>
      </c>
      <c r="I76" s="72">
        <f>SUM(I74:I75)</f>
        <v>38010</v>
      </c>
      <c r="J76" s="73">
        <f>F76</f>
        <v>51</v>
      </c>
      <c r="K76" s="68">
        <f>I76*J76</f>
        <v>1938510</v>
      </c>
    </row>
    <row r="80" spans="3:11" ht="15.75" thickBot="1" x14ac:dyDescent="0.3"/>
    <row r="81" spans="3:9" ht="15.75" x14ac:dyDescent="0.25">
      <c r="C81" s="196" t="s">
        <v>60</v>
      </c>
      <c r="D81" s="198" t="s">
        <v>59</v>
      </c>
      <c r="E81" s="199"/>
      <c r="F81" s="200"/>
      <c r="G81" s="201" t="s">
        <v>65</v>
      </c>
      <c r="H81" s="202"/>
      <c r="I81" s="203"/>
    </row>
    <row r="82" spans="3:9" ht="16.5" thickBot="1" x14ac:dyDescent="0.3">
      <c r="C82" s="197"/>
      <c r="D82" s="81" t="s">
        <v>30</v>
      </c>
      <c r="E82" s="62" t="s">
        <v>31</v>
      </c>
      <c r="F82" s="82" t="s">
        <v>32</v>
      </c>
      <c r="G82" s="76" t="s">
        <v>30</v>
      </c>
      <c r="H82" s="54" t="s">
        <v>34</v>
      </c>
      <c r="I82" s="64" t="s">
        <v>33</v>
      </c>
    </row>
    <row r="83" spans="3:9" x14ac:dyDescent="0.25">
      <c r="C83" s="5" t="s">
        <v>61</v>
      </c>
      <c r="D83" s="77"/>
      <c r="E83" s="66"/>
      <c r="F83" s="68">
        <v>102200</v>
      </c>
      <c r="G83" s="77"/>
      <c r="H83" s="66"/>
      <c r="I83" s="68"/>
    </row>
    <row r="84" spans="3:9" x14ac:dyDescent="0.25">
      <c r="C84" s="6" t="s">
        <v>62</v>
      </c>
      <c r="D84" s="77">
        <v>220000</v>
      </c>
      <c r="E84" s="69">
        <f>F76</f>
        <v>51</v>
      </c>
      <c r="F84" s="68">
        <v>1122000</v>
      </c>
      <c r="G84" s="77">
        <v>4300</v>
      </c>
      <c r="H84" s="66">
        <f>F76</f>
        <v>51</v>
      </c>
      <c r="I84" s="68">
        <v>219300</v>
      </c>
    </row>
    <row r="85" spans="3:9" x14ac:dyDescent="0.25">
      <c r="C85" s="6" t="s">
        <v>63</v>
      </c>
      <c r="D85" s="83">
        <v>19200</v>
      </c>
      <c r="E85" s="69">
        <v>16</v>
      </c>
      <c r="F85" s="84">
        <v>307200</v>
      </c>
      <c r="G85" s="79">
        <v>2000</v>
      </c>
      <c r="H85" s="69">
        <f>E85</f>
        <v>16</v>
      </c>
      <c r="I85" s="80">
        <v>32000</v>
      </c>
    </row>
    <row r="86" spans="3:9" x14ac:dyDescent="0.25">
      <c r="C86" s="88" t="s">
        <v>64</v>
      </c>
      <c r="D86" s="85">
        <v>19200</v>
      </c>
      <c r="E86" s="39">
        <v>10.25</v>
      </c>
      <c r="F86" s="68">
        <v>196800</v>
      </c>
      <c r="G86" s="85">
        <v>2000</v>
      </c>
      <c r="H86" s="39"/>
      <c r="I86" s="90">
        <v>20500</v>
      </c>
    </row>
    <row r="87" spans="3:9" ht="15.75" thickBot="1" x14ac:dyDescent="0.3">
      <c r="C87" s="89" t="s">
        <v>60</v>
      </c>
      <c r="D87" s="78">
        <v>13700</v>
      </c>
      <c r="E87" s="86">
        <f>F87/D87</f>
        <v>126.14598540145985</v>
      </c>
      <c r="F87" s="87">
        <f>SUM(F83:F86)</f>
        <v>1728200</v>
      </c>
      <c r="G87" s="91"/>
      <c r="H87" s="86"/>
      <c r="I87" s="87">
        <f>SUM(I84:I86)</f>
        <v>271800</v>
      </c>
    </row>
    <row r="89" spans="3:9" ht="15.75" thickBot="1" x14ac:dyDescent="0.3"/>
    <row r="90" spans="3:9" ht="15.75" x14ac:dyDescent="0.25">
      <c r="C90" s="196" t="s">
        <v>66</v>
      </c>
      <c r="D90" s="198" t="s">
        <v>59</v>
      </c>
      <c r="E90" s="199"/>
      <c r="F90" s="200"/>
      <c r="G90" s="201" t="s">
        <v>65</v>
      </c>
      <c r="H90" s="202"/>
      <c r="I90" s="203"/>
    </row>
    <row r="91" spans="3:9" ht="16.5" thickBot="1" x14ac:dyDescent="0.3">
      <c r="C91" s="197"/>
      <c r="D91" s="81" t="s">
        <v>30</v>
      </c>
      <c r="E91" s="62" t="s">
        <v>31</v>
      </c>
      <c r="F91" s="82" t="s">
        <v>32</v>
      </c>
      <c r="G91" s="76" t="s">
        <v>30</v>
      </c>
      <c r="H91" s="54" t="s">
        <v>34</v>
      </c>
      <c r="I91" s="64" t="s">
        <v>33</v>
      </c>
    </row>
    <row r="92" spans="3:9" x14ac:dyDescent="0.25">
      <c r="C92" s="5" t="s">
        <v>61</v>
      </c>
      <c r="D92" s="77"/>
      <c r="E92" s="66"/>
      <c r="F92" s="68">
        <v>73800</v>
      </c>
      <c r="G92" s="77"/>
      <c r="H92" s="66"/>
      <c r="I92" s="68"/>
    </row>
    <row r="93" spans="3:9" x14ac:dyDescent="0.25">
      <c r="C93" s="6" t="s">
        <v>62</v>
      </c>
      <c r="D93" s="77">
        <v>9500</v>
      </c>
      <c r="E93" s="69">
        <f>F76</f>
        <v>51</v>
      </c>
      <c r="F93" s="68">
        <v>484500</v>
      </c>
      <c r="G93" s="77">
        <v>500</v>
      </c>
      <c r="H93" s="69">
        <f>F76</f>
        <v>51</v>
      </c>
      <c r="I93" s="68">
        <v>25500</v>
      </c>
    </row>
    <row r="94" spans="3:9" x14ac:dyDescent="0.25">
      <c r="C94" s="6" t="s">
        <v>63</v>
      </c>
      <c r="D94" s="83">
        <v>7200</v>
      </c>
      <c r="E94" s="69">
        <v>16</v>
      </c>
      <c r="F94" s="84">
        <v>115200</v>
      </c>
      <c r="G94" s="79">
        <v>400</v>
      </c>
      <c r="H94" s="69">
        <v>16</v>
      </c>
      <c r="I94" s="80">
        <v>6400</v>
      </c>
    </row>
    <row r="95" spans="3:9" x14ac:dyDescent="0.25">
      <c r="C95" s="88" t="s">
        <v>64</v>
      </c>
      <c r="D95" s="85">
        <v>7200</v>
      </c>
      <c r="E95" s="39">
        <v>10.25</v>
      </c>
      <c r="F95" s="68">
        <v>73800</v>
      </c>
      <c r="G95" s="85">
        <v>400</v>
      </c>
      <c r="H95" s="39">
        <v>10.25</v>
      </c>
      <c r="I95" s="90">
        <v>4100</v>
      </c>
    </row>
    <row r="96" spans="3:9" ht="15.75" thickBot="1" x14ac:dyDescent="0.3">
      <c r="C96" s="89" t="s">
        <v>66</v>
      </c>
      <c r="D96" s="78">
        <v>3000</v>
      </c>
      <c r="E96" s="86">
        <f>F96/D96</f>
        <v>249.1</v>
      </c>
      <c r="F96" s="87">
        <f>SUM(F92:F95)</f>
        <v>747300</v>
      </c>
      <c r="G96" s="91"/>
      <c r="H96" s="86"/>
      <c r="I96" s="87">
        <f>SUM(I93:I95)</f>
        <v>36000</v>
      </c>
    </row>
    <row r="101" spans="3:6" ht="20.25" thickBot="1" x14ac:dyDescent="0.35">
      <c r="C101" s="11" t="s">
        <v>67</v>
      </c>
    </row>
    <row r="102" spans="3:6" ht="16.5" thickTop="1" thickBot="1" x14ac:dyDescent="0.3"/>
    <row r="103" spans="3:6" ht="15.75" x14ac:dyDescent="0.25">
      <c r="C103" s="204" t="s">
        <v>68</v>
      </c>
      <c r="D103" s="206" t="s">
        <v>40</v>
      </c>
      <c r="E103" s="199"/>
      <c r="F103" s="200"/>
    </row>
    <row r="104" spans="3:6" ht="16.5" thickBot="1" x14ac:dyDescent="0.3">
      <c r="C104" s="205"/>
      <c r="D104" s="98" t="s">
        <v>30</v>
      </c>
      <c r="E104" s="98" t="s">
        <v>69</v>
      </c>
      <c r="F104" s="99" t="s">
        <v>32</v>
      </c>
    </row>
    <row r="105" spans="3:6" x14ac:dyDescent="0.25">
      <c r="C105" s="4" t="s">
        <v>39</v>
      </c>
      <c r="D105" s="95">
        <v>2860</v>
      </c>
      <c r="E105" s="95">
        <f>F105/D105</f>
        <v>125.5944055944056</v>
      </c>
      <c r="F105" s="96">
        <v>359200</v>
      </c>
    </row>
    <row r="106" spans="3:6" x14ac:dyDescent="0.25">
      <c r="C106" s="20" t="s">
        <v>40</v>
      </c>
      <c r="D106" s="66">
        <v>13700</v>
      </c>
      <c r="E106" s="66">
        <f>E87</f>
        <v>126.14598540145985</v>
      </c>
      <c r="F106" s="68">
        <f>D106*E106</f>
        <v>1728200</v>
      </c>
    </row>
    <row r="107" spans="3:6" ht="15.75" thickBot="1" x14ac:dyDescent="0.3">
      <c r="C107" s="3" t="s">
        <v>41</v>
      </c>
      <c r="D107" s="73">
        <v>14000</v>
      </c>
      <c r="E107" s="73">
        <v>126.05</v>
      </c>
      <c r="F107" s="74">
        <f>D107*E107</f>
        <v>1764700</v>
      </c>
    </row>
    <row r="108" spans="3:6" ht="15.75" thickBot="1" x14ac:dyDescent="0.3">
      <c r="C108" s="100" t="s">
        <v>70</v>
      </c>
      <c r="D108" s="101">
        <f>D105+D106-D107</f>
        <v>2560</v>
      </c>
      <c r="E108" s="102">
        <v>126.05</v>
      </c>
      <c r="F108" s="103">
        <f>F105+F106-F107</f>
        <v>322700</v>
      </c>
    </row>
    <row r="110" spans="3:6" ht="15.75" thickBot="1" x14ac:dyDescent="0.3"/>
    <row r="111" spans="3:6" ht="15.75" x14ac:dyDescent="0.25">
      <c r="C111" s="204" t="s">
        <v>71</v>
      </c>
      <c r="D111" s="206" t="s">
        <v>40</v>
      </c>
      <c r="E111" s="199"/>
      <c r="F111" s="200"/>
    </row>
    <row r="112" spans="3:6" ht="16.5" thickBot="1" x14ac:dyDescent="0.3">
      <c r="C112" s="205"/>
      <c r="D112" s="98" t="s">
        <v>30</v>
      </c>
      <c r="E112" s="98" t="s">
        <v>69</v>
      </c>
      <c r="F112" s="99" t="s">
        <v>32</v>
      </c>
    </row>
    <row r="113" spans="1:9" x14ac:dyDescent="0.25">
      <c r="C113" s="4" t="s">
        <v>39</v>
      </c>
      <c r="D113" s="95">
        <v>200</v>
      </c>
      <c r="E113" s="95">
        <f>F113/D113</f>
        <v>248.5</v>
      </c>
      <c r="F113" s="96">
        <v>49700</v>
      </c>
    </row>
    <row r="114" spans="1:9" x14ac:dyDescent="0.25">
      <c r="A114" t="s">
        <v>72</v>
      </c>
      <c r="C114" s="20" t="s">
        <v>40</v>
      </c>
      <c r="D114" s="66">
        <v>3000</v>
      </c>
      <c r="E114" s="66">
        <f>E96</f>
        <v>249.1</v>
      </c>
      <c r="F114" s="68">
        <f>D114*E114</f>
        <v>747300</v>
      </c>
    </row>
    <row r="115" spans="1:9" ht="15.75" thickBot="1" x14ac:dyDescent="0.3">
      <c r="C115" s="3" t="s">
        <v>41</v>
      </c>
      <c r="D115" s="73">
        <v>2000</v>
      </c>
      <c r="E115" s="73">
        <v>249.06</v>
      </c>
      <c r="F115" s="74">
        <f>D115*E115</f>
        <v>498120</v>
      </c>
    </row>
    <row r="116" spans="1:9" ht="15.75" thickBot="1" x14ac:dyDescent="0.3">
      <c r="C116" s="100" t="s">
        <v>70</v>
      </c>
      <c r="D116" s="101">
        <f>D113+D114-D115</f>
        <v>1200</v>
      </c>
      <c r="E116" s="102">
        <v>249.06</v>
      </c>
      <c r="F116" s="103">
        <f>F113+F114-F115</f>
        <v>298880</v>
      </c>
    </row>
    <row r="119" spans="1:9" x14ac:dyDescent="0.25">
      <c r="C119" t="s">
        <v>73</v>
      </c>
    </row>
    <row r="120" spans="1:9" x14ac:dyDescent="0.25">
      <c r="C120" t="s">
        <v>74</v>
      </c>
    </row>
    <row r="124" spans="1:9" ht="20.25" thickBot="1" x14ac:dyDescent="0.35">
      <c r="C124" s="11" t="s">
        <v>75</v>
      </c>
    </row>
    <row r="125" spans="1:9" ht="16.5" thickTop="1" thickBot="1" x14ac:dyDescent="0.3"/>
    <row r="126" spans="1:9" ht="15.75" x14ac:dyDescent="0.25">
      <c r="C126" s="196"/>
      <c r="D126" s="198" t="s">
        <v>76</v>
      </c>
      <c r="E126" s="199"/>
      <c r="F126" s="200"/>
      <c r="G126" s="201" t="s">
        <v>77</v>
      </c>
      <c r="H126" s="202"/>
      <c r="I126" s="203"/>
    </row>
    <row r="127" spans="1:9" ht="16.5" thickBot="1" x14ac:dyDescent="0.3">
      <c r="C127" s="197"/>
      <c r="D127" s="108" t="s">
        <v>30</v>
      </c>
      <c r="E127" s="98" t="s">
        <v>69</v>
      </c>
      <c r="F127" s="99" t="s">
        <v>32</v>
      </c>
      <c r="G127" s="109" t="s">
        <v>30</v>
      </c>
      <c r="H127" s="110" t="s">
        <v>69</v>
      </c>
      <c r="I127" s="111" t="s">
        <v>33</v>
      </c>
    </row>
    <row r="128" spans="1:9" x14ac:dyDescent="0.25">
      <c r="C128" s="6" t="s">
        <v>82</v>
      </c>
      <c r="D128" s="106">
        <v>14000</v>
      </c>
      <c r="E128" s="97">
        <v>126.05</v>
      </c>
      <c r="F128" s="107">
        <f>E128*D128</f>
        <v>1764700</v>
      </c>
      <c r="G128" s="106">
        <v>2000</v>
      </c>
      <c r="H128" s="97">
        <v>249.06</v>
      </c>
      <c r="I128" s="107">
        <f>H128*G128</f>
        <v>498120</v>
      </c>
    </row>
    <row r="129" spans="2:9" x14ac:dyDescent="0.25">
      <c r="B129" s="115"/>
      <c r="C129" s="6" t="s">
        <v>81</v>
      </c>
      <c r="D129" s="106">
        <v>22400</v>
      </c>
      <c r="E129" s="97">
        <v>5</v>
      </c>
      <c r="F129" s="107">
        <f>E129*D129</f>
        <v>112000</v>
      </c>
      <c r="G129" s="106">
        <v>4000</v>
      </c>
      <c r="H129" s="97">
        <v>5</v>
      </c>
      <c r="I129" s="107">
        <f>H129*G129</f>
        <v>20000</v>
      </c>
    </row>
    <row r="130" spans="2:9" x14ac:dyDescent="0.25">
      <c r="C130" s="6" t="s">
        <v>78</v>
      </c>
      <c r="D130" s="77">
        <v>14000</v>
      </c>
      <c r="E130" s="69">
        <v>134.05000000000001</v>
      </c>
      <c r="F130" s="107">
        <f>F128+F129</f>
        <v>1876700</v>
      </c>
      <c r="G130" s="77">
        <v>2000</v>
      </c>
      <c r="H130" s="69">
        <v>260.56</v>
      </c>
      <c r="I130" s="107">
        <f>I128+I129</f>
        <v>518120</v>
      </c>
    </row>
    <row r="131" spans="2:9" x14ac:dyDescent="0.25">
      <c r="C131" s="6" t="s">
        <v>79</v>
      </c>
      <c r="D131" s="77">
        <v>14000</v>
      </c>
      <c r="E131" s="69">
        <v>160</v>
      </c>
      <c r="F131" s="107">
        <f t="shared" ref="F131:F132" si="4">E131*D131</f>
        <v>2240000</v>
      </c>
      <c r="G131" s="77">
        <v>2000</v>
      </c>
      <c r="H131" s="69">
        <v>230</v>
      </c>
      <c r="I131" s="107">
        <f t="shared" ref="I131:I132" si="5">H131*G131</f>
        <v>460000</v>
      </c>
    </row>
    <row r="132" spans="2:9" ht="15.75" thickBot="1" x14ac:dyDescent="0.3">
      <c r="C132" s="89" t="s">
        <v>80</v>
      </c>
      <c r="D132" s="78">
        <v>14000</v>
      </c>
      <c r="E132" s="86">
        <f>E131-E130</f>
        <v>25.949999999999989</v>
      </c>
      <c r="F132" s="107">
        <f t="shared" si="4"/>
        <v>363299.99999999983</v>
      </c>
      <c r="G132" s="78">
        <v>2000</v>
      </c>
      <c r="H132" s="86">
        <f>H131-H130</f>
        <v>-30.560000000000002</v>
      </c>
      <c r="I132" s="107">
        <f t="shared" si="5"/>
        <v>-61120.000000000007</v>
      </c>
    </row>
    <row r="133" spans="2:9" x14ac:dyDescent="0.25">
      <c r="C133" s="104"/>
      <c r="D133" s="104"/>
      <c r="E133" s="104"/>
      <c r="F133" s="104"/>
      <c r="G133" s="104"/>
      <c r="H133" s="16"/>
      <c r="I133" s="16"/>
    </row>
    <row r="134" spans="2:9" x14ac:dyDescent="0.25">
      <c r="C134" s="104"/>
      <c r="D134" s="104"/>
      <c r="E134" s="104"/>
      <c r="F134" s="104"/>
      <c r="G134" s="104"/>
      <c r="H134" s="16"/>
      <c r="I134" s="16"/>
    </row>
    <row r="135" spans="2:9" x14ac:dyDescent="0.25">
      <c r="C135" s="104"/>
      <c r="D135" s="104"/>
      <c r="E135" s="104"/>
      <c r="F135" s="104"/>
      <c r="G135" s="104"/>
      <c r="H135" s="16"/>
      <c r="I135" s="16"/>
    </row>
    <row r="136" spans="2:9" x14ac:dyDescent="0.25">
      <c r="C136" s="105" t="s">
        <v>83</v>
      </c>
      <c r="D136" s="105"/>
      <c r="E136" s="105"/>
      <c r="F136" s="105"/>
      <c r="G136" s="105"/>
    </row>
    <row r="137" spans="2:9" x14ac:dyDescent="0.25">
      <c r="C137" s="105"/>
      <c r="D137" s="105"/>
      <c r="E137" s="105"/>
      <c r="F137" s="105"/>
      <c r="G137" s="105"/>
    </row>
    <row r="138" spans="2:9" x14ac:dyDescent="0.25">
      <c r="C138" t="s">
        <v>84</v>
      </c>
      <c r="D138">
        <f>F132+I132</f>
        <v>302179.99999999983</v>
      </c>
    </row>
  </sheetData>
  <mergeCells count="26">
    <mergeCell ref="C126:C127"/>
    <mergeCell ref="D126:F126"/>
    <mergeCell ref="G126:I126"/>
    <mergeCell ref="C103:C104"/>
    <mergeCell ref="D103:F103"/>
    <mergeCell ref="C111:C112"/>
    <mergeCell ref="D111:F111"/>
    <mergeCell ref="C90:C91"/>
    <mergeCell ref="D90:F90"/>
    <mergeCell ref="G90:I90"/>
    <mergeCell ref="D41:D42"/>
    <mergeCell ref="D49:D50"/>
    <mergeCell ref="E41:G41"/>
    <mergeCell ref="I41:K41"/>
    <mergeCell ref="E49:G49"/>
    <mergeCell ref="I49:K49"/>
    <mergeCell ref="C81:C82"/>
    <mergeCell ref="D81:F81"/>
    <mergeCell ref="G81:I81"/>
    <mergeCell ref="E72:G72"/>
    <mergeCell ref="I72:K72"/>
    <mergeCell ref="D7:E7"/>
    <mergeCell ref="F7:I7"/>
    <mergeCell ref="C7:C8"/>
    <mergeCell ref="H28:J28"/>
    <mergeCell ref="E28:G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15"/>
  <sheetViews>
    <sheetView tabSelected="1" topLeftCell="A73" zoomScale="80" zoomScaleNormal="80" workbookViewId="0">
      <selection activeCell="E90" sqref="E90"/>
    </sheetView>
  </sheetViews>
  <sheetFormatPr defaultRowHeight="15" x14ac:dyDescent="0.25"/>
  <cols>
    <col min="2" max="2" width="32.5703125" customWidth="1"/>
    <col min="3" max="3" width="26.7109375" customWidth="1"/>
    <col min="4" max="4" width="15.5703125" customWidth="1"/>
    <col min="5" max="5" width="19" customWidth="1"/>
    <col min="6" max="6" width="22" customWidth="1"/>
    <col min="7" max="7" width="21.7109375" customWidth="1"/>
    <col min="8" max="8" width="23.85546875" customWidth="1"/>
    <col min="9" max="9" width="16" customWidth="1"/>
    <col min="10" max="10" width="12.7109375" customWidth="1"/>
    <col min="11" max="11" width="14" customWidth="1"/>
    <col min="12" max="12" width="17" customWidth="1"/>
    <col min="13" max="13" width="9.140625" customWidth="1"/>
  </cols>
  <sheetData>
    <row r="2" spans="2:8" ht="24" thickBot="1" x14ac:dyDescent="0.4">
      <c r="B2" s="13" t="s">
        <v>20</v>
      </c>
    </row>
    <row r="3" spans="2:8" ht="16.5" thickTop="1" thickBot="1" x14ac:dyDescent="0.3">
      <c r="E3" s="112" t="s">
        <v>23</v>
      </c>
      <c r="F3" s="113" t="s">
        <v>24</v>
      </c>
      <c r="G3" s="113" t="s">
        <v>25</v>
      </c>
      <c r="H3" s="114" t="s">
        <v>26</v>
      </c>
    </row>
    <row r="4" spans="2:8" ht="15.75" thickBot="1" x14ac:dyDescent="0.3"/>
    <row r="5" spans="2:8" x14ac:dyDescent="0.25">
      <c r="B5" s="188" t="s">
        <v>0</v>
      </c>
      <c r="C5" s="183" t="s">
        <v>55</v>
      </c>
      <c r="D5" s="184"/>
      <c r="E5" s="185" t="s">
        <v>56</v>
      </c>
      <c r="F5" s="186"/>
      <c r="G5" s="186"/>
      <c r="H5" s="187"/>
    </row>
    <row r="6" spans="2:8" ht="15.75" thickBot="1" x14ac:dyDescent="0.3">
      <c r="B6" s="189"/>
      <c r="C6" s="26" t="s">
        <v>85</v>
      </c>
      <c r="D6" s="27" t="s">
        <v>86</v>
      </c>
      <c r="E6" s="28" t="s">
        <v>9</v>
      </c>
      <c r="F6" s="29" t="s">
        <v>10</v>
      </c>
      <c r="G6" s="29" t="s">
        <v>11</v>
      </c>
      <c r="H6" s="30" t="s">
        <v>12</v>
      </c>
    </row>
    <row r="7" spans="2:8" x14ac:dyDescent="0.25">
      <c r="B7" s="5" t="s">
        <v>1</v>
      </c>
      <c r="C7" s="122">
        <v>18000</v>
      </c>
      <c r="D7" s="117">
        <v>30000</v>
      </c>
      <c r="E7" s="117">
        <v>1500</v>
      </c>
      <c r="F7" s="117">
        <v>15500</v>
      </c>
      <c r="G7" s="117">
        <v>13500</v>
      </c>
      <c r="H7" s="117">
        <v>5000</v>
      </c>
    </row>
    <row r="8" spans="2:8" x14ac:dyDescent="0.25">
      <c r="B8" s="6" t="s">
        <v>89</v>
      </c>
      <c r="C8" s="123"/>
      <c r="D8" s="118">
        <f>C10*0.1</f>
        <v>2121.2121212121215</v>
      </c>
      <c r="E8" s="118">
        <f>C10*0.25</f>
        <v>5303.030303030303</v>
      </c>
      <c r="F8" s="118">
        <f>C10*0.2</f>
        <v>4242.4242424242429</v>
      </c>
      <c r="G8" s="118">
        <f>C10*0.2</f>
        <v>4242.4242424242429</v>
      </c>
      <c r="H8" s="118">
        <f>C10*0.25</f>
        <v>5303.030303030303</v>
      </c>
    </row>
    <row r="9" spans="2:8" x14ac:dyDescent="0.25">
      <c r="B9" s="6" t="s">
        <v>90</v>
      </c>
      <c r="C9" s="123">
        <f>D10*0.1</f>
        <v>3212.121212121212</v>
      </c>
      <c r="D9" s="118"/>
      <c r="E9" s="118">
        <f>D10*0.15</f>
        <v>4818.181818181818</v>
      </c>
      <c r="F9" s="118">
        <f>D10*0.25</f>
        <v>8030.30303030303</v>
      </c>
      <c r="G9" s="118">
        <f>D10*0.3</f>
        <v>9636.363636363636</v>
      </c>
      <c r="H9" s="118">
        <f>D10*0.2</f>
        <v>6424.242424242424</v>
      </c>
    </row>
    <row r="10" spans="2:8" x14ac:dyDescent="0.25">
      <c r="B10" s="6" t="s">
        <v>4</v>
      </c>
      <c r="C10" s="124">
        <f>(18000+0.1*30000)/0.99</f>
        <v>21212.121212121212</v>
      </c>
      <c r="D10" s="125">
        <f>30000+0.1*C10</f>
        <v>32121.21212121212</v>
      </c>
      <c r="E10" s="119">
        <f>SUM(E6:E9)</f>
        <v>11621.21212121212</v>
      </c>
      <c r="F10" s="119">
        <f t="shared" ref="F10:H10" si="0">SUM(F6:F9)</f>
        <v>27772.727272727272</v>
      </c>
      <c r="G10" s="119">
        <f t="shared" si="0"/>
        <v>27378.78787878788</v>
      </c>
      <c r="H10" s="119">
        <f t="shared" si="0"/>
        <v>16727.272727272728</v>
      </c>
    </row>
    <row r="11" spans="2:8" x14ac:dyDescent="0.25">
      <c r="B11" s="6" t="s">
        <v>5</v>
      </c>
      <c r="C11" s="122"/>
      <c r="D11" s="117"/>
      <c r="E11" s="120" t="s">
        <v>91</v>
      </c>
      <c r="F11" s="120" t="s">
        <v>92</v>
      </c>
      <c r="G11" s="120" t="s">
        <v>92</v>
      </c>
      <c r="H11" s="120" t="s">
        <v>93</v>
      </c>
    </row>
    <row r="12" spans="2:8" ht="15.75" thickBot="1" x14ac:dyDescent="0.3">
      <c r="B12" s="6" t="s">
        <v>6</v>
      </c>
      <c r="C12" s="126"/>
      <c r="D12" s="127"/>
      <c r="E12" s="121">
        <f>(100*260+700*48+2100*3)/100</f>
        <v>659</v>
      </c>
      <c r="F12" s="121">
        <v>110</v>
      </c>
      <c r="G12" s="121">
        <v>110</v>
      </c>
      <c r="H12" s="121">
        <f>1400+2100</f>
        <v>3500</v>
      </c>
    </row>
    <row r="13" spans="2:8" ht="16.5" thickBot="1" x14ac:dyDescent="0.3">
      <c r="B13" s="7" t="s">
        <v>13</v>
      </c>
      <c r="C13" s="38"/>
      <c r="D13" s="41"/>
      <c r="E13" s="116">
        <f>E10/E12</f>
        <v>17.634616268910651</v>
      </c>
      <c r="F13" s="116">
        <f t="shared" ref="F13:H13" si="1">F10/F12</f>
        <v>252.47933884297521</v>
      </c>
      <c r="G13" s="116">
        <f t="shared" si="1"/>
        <v>248.89807162534436</v>
      </c>
      <c r="H13" s="116">
        <f t="shared" si="1"/>
        <v>4.779220779220779</v>
      </c>
    </row>
    <row r="15" spans="2:8" ht="15.75" thickBot="1" x14ac:dyDescent="0.3"/>
    <row r="16" spans="2:8" x14ac:dyDescent="0.25">
      <c r="B16" s="8" t="s">
        <v>87</v>
      </c>
    </row>
    <row r="17" spans="2:12" ht="15.75" thickBot="1" x14ac:dyDescent="0.3">
      <c r="B17" s="9" t="s">
        <v>88</v>
      </c>
    </row>
    <row r="21" spans="2:12" ht="20.25" thickBot="1" x14ac:dyDescent="0.35">
      <c r="B21" s="11" t="s">
        <v>27</v>
      </c>
    </row>
    <row r="22" spans="2:12" ht="15.75" thickTop="1" x14ac:dyDescent="0.25"/>
    <row r="23" spans="2:12" ht="15.75" x14ac:dyDescent="0.25">
      <c r="D23" s="193" t="s">
        <v>94</v>
      </c>
      <c r="E23" s="194"/>
      <c r="F23" s="195"/>
      <c r="G23" s="190" t="s">
        <v>95</v>
      </c>
      <c r="H23" s="191"/>
      <c r="I23" s="192"/>
      <c r="J23" s="221" t="s">
        <v>96</v>
      </c>
      <c r="K23" s="222"/>
      <c r="L23" s="223"/>
    </row>
    <row r="24" spans="2:12" ht="15.75" x14ac:dyDescent="0.25">
      <c r="D24" s="49" t="s">
        <v>30</v>
      </c>
      <c r="E24" s="49" t="s">
        <v>69</v>
      </c>
      <c r="F24" s="49" t="s">
        <v>32</v>
      </c>
      <c r="G24" s="50" t="s">
        <v>30</v>
      </c>
      <c r="H24" s="50" t="s">
        <v>69</v>
      </c>
      <c r="I24" s="50" t="s">
        <v>33</v>
      </c>
      <c r="J24" s="128" t="s">
        <v>30</v>
      </c>
      <c r="K24" s="128" t="s">
        <v>69</v>
      </c>
      <c r="L24" s="128" t="s">
        <v>33</v>
      </c>
    </row>
    <row r="25" spans="2:12" x14ac:dyDescent="0.25">
      <c r="C25" s="2" t="s">
        <v>35</v>
      </c>
      <c r="D25" s="51">
        <v>100</v>
      </c>
      <c r="E25" s="51">
        <v>260</v>
      </c>
      <c r="F25" s="51">
        <f>D25*E25</f>
        <v>26000</v>
      </c>
      <c r="G25" s="52">
        <v>700</v>
      </c>
      <c r="H25" s="52">
        <v>48</v>
      </c>
      <c r="I25" s="52">
        <f>G25*H25</f>
        <v>33600</v>
      </c>
      <c r="J25" s="129">
        <v>2100</v>
      </c>
      <c r="K25" s="129">
        <v>3</v>
      </c>
      <c r="L25" s="129">
        <f>J25*K25</f>
        <v>6300</v>
      </c>
    </row>
    <row r="26" spans="2:12" ht="15.75" thickBot="1" x14ac:dyDescent="0.3">
      <c r="B26" t="s">
        <v>98</v>
      </c>
      <c r="C26" s="2" t="s">
        <v>58</v>
      </c>
      <c r="D26" s="130">
        <f>F25/100</f>
        <v>260</v>
      </c>
      <c r="E26" s="130">
        <f>E13</f>
        <v>17.634616268910651</v>
      </c>
      <c r="F26" s="130">
        <f>D26*E26</f>
        <v>4585.0002299167691</v>
      </c>
      <c r="G26" s="131">
        <f>I25/100</f>
        <v>336</v>
      </c>
      <c r="H26" s="131">
        <f>E13</f>
        <v>17.634616268910651</v>
      </c>
      <c r="I26" s="131">
        <f t="shared" ref="I26" si="2">G26*H26</f>
        <v>5925.2310663539793</v>
      </c>
      <c r="J26" s="132">
        <f>L25/100</f>
        <v>63</v>
      </c>
      <c r="K26" s="132">
        <v>17.63</v>
      </c>
      <c r="L26" s="132">
        <f t="shared" ref="L26" si="3">J26*K26</f>
        <v>1110.6899999999998</v>
      </c>
    </row>
    <row r="27" spans="2:12" ht="19.5" thickBot="1" x14ac:dyDescent="0.35">
      <c r="C27" s="2" t="s">
        <v>36</v>
      </c>
      <c r="D27" s="133">
        <v>100</v>
      </c>
      <c r="E27" s="134">
        <f>F27/D27</f>
        <v>305.85000229916767</v>
      </c>
      <c r="F27" s="135">
        <f>SUM(F25:F26)</f>
        <v>30585.000229916768</v>
      </c>
      <c r="G27" s="136">
        <v>700</v>
      </c>
      <c r="H27" s="137">
        <f>I27/G27</f>
        <v>56.464615809077117</v>
      </c>
      <c r="I27" s="138">
        <f>SUM(I25:I26)</f>
        <v>39525.231066353983</v>
      </c>
      <c r="J27" s="139">
        <v>2100</v>
      </c>
      <c r="K27" s="140">
        <f>L27/J27</f>
        <v>3.5288999999999997</v>
      </c>
      <c r="L27" s="141">
        <f>SUM(L25:L26)</f>
        <v>7410.69</v>
      </c>
    </row>
    <row r="29" spans="2:12" x14ac:dyDescent="0.25">
      <c r="B29" t="s">
        <v>99</v>
      </c>
    </row>
    <row r="33" spans="2:13" ht="20.25" thickBot="1" x14ac:dyDescent="0.35">
      <c r="B33" s="11" t="s">
        <v>97</v>
      </c>
    </row>
    <row r="34" spans="2:13" ht="16.5" thickTop="1" thickBot="1" x14ac:dyDescent="0.3"/>
    <row r="35" spans="2:13" ht="15.75" x14ac:dyDescent="0.25">
      <c r="C35" s="204" t="s">
        <v>94</v>
      </c>
      <c r="D35" s="206" t="s">
        <v>40</v>
      </c>
      <c r="E35" s="199"/>
      <c r="F35" s="207"/>
      <c r="G35" s="75"/>
      <c r="H35" s="208" t="s">
        <v>41</v>
      </c>
      <c r="I35" s="202"/>
      <c r="J35" s="203"/>
    </row>
    <row r="36" spans="2:13" ht="16.5" thickBot="1" x14ac:dyDescent="0.3">
      <c r="C36" s="205"/>
      <c r="D36" s="62" t="s">
        <v>30</v>
      </c>
      <c r="E36" s="62" t="s">
        <v>31</v>
      </c>
      <c r="F36" s="62" t="s">
        <v>32</v>
      </c>
      <c r="G36" s="63"/>
      <c r="H36" s="54" t="s">
        <v>30</v>
      </c>
      <c r="I36" s="54" t="s">
        <v>34</v>
      </c>
      <c r="J36" s="64" t="s">
        <v>33</v>
      </c>
    </row>
    <row r="37" spans="2:13" x14ac:dyDescent="0.25">
      <c r="C37" s="5" t="s">
        <v>39</v>
      </c>
      <c r="D37" s="142">
        <v>30</v>
      </c>
      <c r="E37" s="143">
        <v>300</v>
      </c>
      <c r="F37" s="144">
        <f>D37*E37</f>
        <v>9000</v>
      </c>
      <c r="G37" s="145" t="s">
        <v>41</v>
      </c>
      <c r="H37" s="142">
        <v>110</v>
      </c>
      <c r="I37" s="143">
        <v>304.49</v>
      </c>
      <c r="J37" s="146">
        <f>H37*I37</f>
        <v>33493.9</v>
      </c>
      <c r="L37" t="s">
        <v>100</v>
      </c>
      <c r="M37">
        <v>304.49</v>
      </c>
    </row>
    <row r="38" spans="2:13" ht="15.75" thickBot="1" x14ac:dyDescent="0.3">
      <c r="C38" s="6" t="s">
        <v>40</v>
      </c>
      <c r="D38" s="142">
        <v>100</v>
      </c>
      <c r="E38" s="147">
        <v>260</v>
      </c>
      <c r="F38" s="144">
        <f>D38*E38</f>
        <v>26000</v>
      </c>
      <c r="G38" s="148" t="s">
        <v>42</v>
      </c>
      <c r="H38" s="142">
        <v>20</v>
      </c>
      <c r="I38" s="143">
        <v>304.49</v>
      </c>
      <c r="J38" s="146">
        <v>6089.9</v>
      </c>
    </row>
    <row r="39" spans="2:13" ht="19.5" thickBot="1" x14ac:dyDescent="0.35">
      <c r="C39" s="7" t="s">
        <v>43</v>
      </c>
      <c r="D39" s="149">
        <f>SUM(D37:D38)</f>
        <v>130</v>
      </c>
      <c r="E39" s="134">
        <f>(F37+F38)/(D37+D38)</f>
        <v>269.23076923076923</v>
      </c>
      <c r="F39" s="149">
        <f>D39*E39</f>
        <v>35000</v>
      </c>
      <c r="G39" s="150" t="s">
        <v>43</v>
      </c>
      <c r="H39" s="151">
        <f>SUM(H37:H38)</f>
        <v>130</v>
      </c>
      <c r="I39" s="152">
        <f>I38</f>
        <v>304.49</v>
      </c>
      <c r="J39" s="153">
        <f>H39*I39</f>
        <v>39583.700000000004</v>
      </c>
    </row>
    <row r="40" spans="2:13" x14ac:dyDescent="0.25">
      <c r="D40" s="154"/>
      <c r="E40" s="154"/>
      <c r="F40" s="154"/>
      <c r="G40" s="154"/>
      <c r="H40" s="154"/>
      <c r="I40" s="154"/>
      <c r="J40" s="154"/>
    </row>
    <row r="41" spans="2:13" ht="15.75" thickBot="1" x14ac:dyDescent="0.3">
      <c r="D41" s="154"/>
      <c r="E41" s="154"/>
      <c r="F41" s="154"/>
      <c r="G41" s="154"/>
      <c r="H41" s="154"/>
      <c r="I41" s="154"/>
      <c r="J41" s="154"/>
    </row>
    <row r="42" spans="2:13" ht="15.75" x14ac:dyDescent="0.25">
      <c r="C42" s="204" t="s">
        <v>95</v>
      </c>
      <c r="D42" s="224" t="s">
        <v>40</v>
      </c>
      <c r="E42" s="225"/>
      <c r="F42" s="226"/>
      <c r="G42" s="155"/>
      <c r="H42" s="227" t="s">
        <v>41</v>
      </c>
      <c r="I42" s="228"/>
      <c r="J42" s="229"/>
    </row>
    <row r="43" spans="2:13" ht="16.5" thickBot="1" x14ac:dyDescent="0.3">
      <c r="C43" s="205"/>
      <c r="D43" s="156" t="s">
        <v>30</v>
      </c>
      <c r="E43" s="156" t="s">
        <v>31</v>
      </c>
      <c r="F43" s="156" t="s">
        <v>32</v>
      </c>
      <c r="G43" s="157"/>
      <c r="H43" s="158" t="s">
        <v>30</v>
      </c>
      <c r="I43" s="158" t="s">
        <v>34</v>
      </c>
      <c r="J43" s="159" t="s">
        <v>33</v>
      </c>
    </row>
    <row r="44" spans="2:13" x14ac:dyDescent="0.25">
      <c r="C44" s="5" t="s">
        <v>39</v>
      </c>
      <c r="D44" s="160">
        <v>200</v>
      </c>
      <c r="E44" s="161">
        <v>50</v>
      </c>
      <c r="F44" s="162">
        <f>D44*E44</f>
        <v>10000</v>
      </c>
      <c r="G44" s="145" t="s">
        <v>41</v>
      </c>
      <c r="H44" s="160">
        <v>800</v>
      </c>
      <c r="I44" s="161">
        <f>M45</f>
        <v>55.024444444444441</v>
      </c>
      <c r="J44" s="163">
        <f>H44*I44</f>
        <v>44019.555555555555</v>
      </c>
    </row>
    <row r="45" spans="2:13" ht="15.75" thickBot="1" x14ac:dyDescent="0.3">
      <c r="C45" s="6" t="s">
        <v>40</v>
      </c>
      <c r="D45" s="160">
        <v>700</v>
      </c>
      <c r="E45" s="164">
        <v>56.46</v>
      </c>
      <c r="F45" s="162">
        <f>D45*E45</f>
        <v>39522</v>
      </c>
      <c r="G45" s="148" t="s">
        <v>42</v>
      </c>
      <c r="H45" s="160">
        <f>D46-H44</f>
        <v>100</v>
      </c>
      <c r="I45" s="161">
        <f>M45</f>
        <v>55.024444444444441</v>
      </c>
      <c r="J45" s="163">
        <f>H45*I45</f>
        <v>5502.4444444444443</v>
      </c>
      <c r="L45" t="s">
        <v>102</v>
      </c>
      <c r="M45" s="154">
        <f>(F44+F45)/(D44+D45)</f>
        <v>55.024444444444441</v>
      </c>
    </row>
    <row r="46" spans="2:13" ht="19.5" thickBot="1" x14ac:dyDescent="0.35">
      <c r="C46" s="7" t="s">
        <v>43</v>
      </c>
      <c r="D46" s="165">
        <f>SUM(D44:D45)</f>
        <v>900</v>
      </c>
      <c r="E46" s="166">
        <v>56.46</v>
      </c>
      <c r="F46" s="165">
        <f>D46*E46</f>
        <v>50814</v>
      </c>
      <c r="G46" s="150" t="s">
        <v>43</v>
      </c>
      <c r="H46" s="167">
        <f>SUM(H44:H45)</f>
        <v>900</v>
      </c>
      <c r="I46" s="168">
        <f>M45</f>
        <v>55.024444444444441</v>
      </c>
      <c r="J46" s="169">
        <f>H46*I46</f>
        <v>49522</v>
      </c>
    </row>
    <row r="47" spans="2:13" x14ac:dyDescent="0.25">
      <c r="D47" s="154"/>
      <c r="E47" s="154"/>
      <c r="F47" s="154"/>
      <c r="G47" s="154"/>
      <c r="H47" s="154"/>
      <c r="I47" s="154"/>
      <c r="J47" s="154"/>
    </row>
    <row r="48" spans="2:13" ht="15.75" thickBot="1" x14ac:dyDescent="0.3">
      <c r="D48" s="154"/>
      <c r="E48" s="154"/>
      <c r="F48" s="154"/>
      <c r="G48" s="154"/>
      <c r="H48" s="154"/>
      <c r="I48" s="154"/>
      <c r="J48" s="154"/>
    </row>
    <row r="49" spans="2:13" ht="15.75" x14ac:dyDescent="0.25">
      <c r="C49" s="204" t="s">
        <v>96</v>
      </c>
      <c r="D49" s="215" t="s">
        <v>40</v>
      </c>
      <c r="E49" s="216"/>
      <c r="F49" s="217"/>
      <c r="G49" s="155"/>
      <c r="H49" s="218" t="s">
        <v>41</v>
      </c>
      <c r="I49" s="219"/>
      <c r="J49" s="220"/>
    </row>
    <row r="50" spans="2:13" ht="16.5" thickBot="1" x14ac:dyDescent="0.3">
      <c r="C50" s="205"/>
      <c r="D50" s="170" t="s">
        <v>30</v>
      </c>
      <c r="E50" s="170" t="s">
        <v>31</v>
      </c>
      <c r="F50" s="170" t="s">
        <v>32</v>
      </c>
      <c r="G50" s="157"/>
      <c r="H50" s="171" t="s">
        <v>30</v>
      </c>
      <c r="I50" s="171" t="s">
        <v>34</v>
      </c>
      <c r="J50" s="172" t="s">
        <v>33</v>
      </c>
    </row>
    <row r="51" spans="2:13" x14ac:dyDescent="0.25">
      <c r="C51" s="5" t="s">
        <v>39</v>
      </c>
      <c r="D51" s="173">
        <v>2000</v>
      </c>
      <c r="E51" s="174">
        <v>3.2</v>
      </c>
      <c r="F51" s="175">
        <f>D51*E51</f>
        <v>6400</v>
      </c>
      <c r="G51" s="145" t="s">
        <v>41</v>
      </c>
      <c r="H51" s="173">
        <v>3500</v>
      </c>
      <c r="I51" s="174">
        <v>3.36</v>
      </c>
      <c r="J51" s="176">
        <f>H51*I51</f>
        <v>11760</v>
      </c>
    </row>
    <row r="52" spans="2:13" ht="15.75" thickBot="1" x14ac:dyDescent="0.3">
      <c r="C52" s="6" t="s">
        <v>40</v>
      </c>
      <c r="D52" s="173">
        <v>2100</v>
      </c>
      <c r="E52" s="177">
        <v>3</v>
      </c>
      <c r="F52" s="175">
        <f>D52*E52</f>
        <v>6300</v>
      </c>
      <c r="G52" s="148" t="s">
        <v>42</v>
      </c>
      <c r="H52" s="173">
        <v>600</v>
      </c>
      <c r="I52" s="174">
        <v>3.36</v>
      </c>
      <c r="J52" s="176">
        <f>H52*I52</f>
        <v>2016</v>
      </c>
      <c r="L52" t="s">
        <v>101</v>
      </c>
      <c r="M52">
        <v>3.36</v>
      </c>
    </row>
    <row r="53" spans="2:13" ht="19.5" thickBot="1" x14ac:dyDescent="0.35">
      <c r="C53" s="7" t="s">
        <v>43</v>
      </c>
      <c r="D53" s="178">
        <f>SUM(D51:D52)</f>
        <v>4100</v>
      </c>
      <c r="E53" s="179">
        <f>(F51+F52)/(D51+D52)</f>
        <v>3.0975609756097562</v>
      </c>
      <c r="F53" s="178">
        <f>D53*E53</f>
        <v>12700</v>
      </c>
      <c r="G53" s="150" t="s">
        <v>43</v>
      </c>
      <c r="H53" s="180">
        <f>SUM(H51:H52)</f>
        <v>4100</v>
      </c>
      <c r="I53" s="181">
        <v>3.36</v>
      </c>
      <c r="J53" s="182">
        <f>H53*I53</f>
        <v>13776</v>
      </c>
    </row>
    <row r="58" spans="2:13" ht="20.25" thickBot="1" x14ac:dyDescent="0.35">
      <c r="B58" s="11" t="s">
        <v>45</v>
      </c>
    </row>
    <row r="59" spans="2:13" ht="16.5" thickTop="1" thickBot="1" x14ac:dyDescent="0.3"/>
    <row r="60" spans="2:13" ht="16.5" customHeight="1" thickBot="1" x14ac:dyDescent="0.3">
      <c r="D60" s="260" t="s">
        <v>3</v>
      </c>
      <c r="E60" s="261"/>
      <c r="F60" s="262"/>
      <c r="G60" s="260" t="s">
        <v>103</v>
      </c>
      <c r="H60" s="261"/>
      <c r="I60" s="262"/>
    </row>
    <row r="61" spans="2:13" ht="15.75" x14ac:dyDescent="0.25">
      <c r="C61" s="233"/>
      <c r="D61" s="234" t="s">
        <v>30</v>
      </c>
      <c r="E61" s="235" t="s">
        <v>46</v>
      </c>
      <c r="F61" s="236" t="s">
        <v>33</v>
      </c>
      <c r="G61" s="234" t="s">
        <v>30</v>
      </c>
      <c r="H61" s="235" t="s">
        <v>46</v>
      </c>
      <c r="I61" s="236" t="s">
        <v>33</v>
      </c>
    </row>
    <row r="62" spans="2:13" ht="15.75" x14ac:dyDescent="0.25">
      <c r="C62" s="237" t="s">
        <v>94</v>
      </c>
      <c r="D62" s="241">
        <f>110*2/5</f>
        <v>44</v>
      </c>
      <c r="E62" s="242">
        <f>M37</f>
        <v>304.49</v>
      </c>
      <c r="F62" s="243">
        <f t="shared" ref="F62:F66" si="4">D62*E62</f>
        <v>13397.560000000001</v>
      </c>
      <c r="G62" s="232">
        <v>66</v>
      </c>
      <c r="H62" s="230">
        <f>M37</f>
        <v>304.49</v>
      </c>
      <c r="I62" s="245">
        <f t="shared" ref="I62:I64" si="5">G62*H62</f>
        <v>20096.34</v>
      </c>
    </row>
    <row r="63" spans="2:13" ht="15.75" x14ac:dyDescent="0.25">
      <c r="C63" s="238" t="s">
        <v>95</v>
      </c>
      <c r="D63" s="241">
        <f>800*2/5</f>
        <v>320</v>
      </c>
      <c r="E63" s="246">
        <f>M45</f>
        <v>55.024444444444441</v>
      </c>
      <c r="F63" s="247">
        <f t="shared" si="4"/>
        <v>17607.822222222221</v>
      </c>
      <c r="G63" s="232">
        <v>480</v>
      </c>
      <c r="H63" s="230">
        <f>M45</f>
        <v>55.024444444444441</v>
      </c>
      <c r="I63" s="245">
        <f t="shared" si="5"/>
        <v>26411.73333333333</v>
      </c>
    </row>
    <row r="64" spans="2:13" ht="15.75" x14ac:dyDescent="0.25">
      <c r="C64" s="238" t="s">
        <v>104</v>
      </c>
      <c r="D64" s="241">
        <v>1400</v>
      </c>
      <c r="E64" s="242">
        <f>M52</f>
        <v>3.36</v>
      </c>
      <c r="F64" s="243">
        <f t="shared" si="4"/>
        <v>4704</v>
      </c>
      <c r="G64" s="232">
        <v>2100</v>
      </c>
      <c r="H64" s="230">
        <f>M52</f>
        <v>3.36</v>
      </c>
      <c r="I64" s="245">
        <f t="shared" si="5"/>
        <v>7056</v>
      </c>
    </row>
    <row r="65" spans="2:12" ht="15.75" x14ac:dyDescent="0.25">
      <c r="C65" s="238" t="s">
        <v>105</v>
      </c>
      <c r="D65" s="241">
        <f>200*2/5</f>
        <v>80</v>
      </c>
      <c r="E65" s="242">
        <v>35</v>
      </c>
      <c r="F65" s="243">
        <f t="shared" si="4"/>
        <v>2800</v>
      </c>
      <c r="G65" s="239">
        <f>200*3/5</f>
        <v>120</v>
      </c>
      <c r="H65" s="240">
        <v>35</v>
      </c>
      <c r="I65" s="245">
        <f>G65*H65</f>
        <v>4200</v>
      </c>
    </row>
    <row r="66" spans="2:12" ht="15.75" x14ac:dyDescent="0.25">
      <c r="C66" s="238" t="s">
        <v>106</v>
      </c>
      <c r="D66" s="241">
        <f>F12*2/5</f>
        <v>44</v>
      </c>
      <c r="E66" s="246">
        <f>F13</f>
        <v>252.47933884297521</v>
      </c>
      <c r="F66" s="247">
        <f t="shared" si="4"/>
        <v>11109.09090909091</v>
      </c>
      <c r="G66" s="239">
        <f>F12*3/5</f>
        <v>66</v>
      </c>
      <c r="H66" s="248">
        <f>F13</f>
        <v>252.47933884297521</v>
      </c>
      <c r="I66" s="249">
        <f>G66*H66</f>
        <v>16663.636363636364</v>
      </c>
      <c r="L66" s="154"/>
    </row>
    <row r="67" spans="2:12" ht="18.75" x14ac:dyDescent="0.3">
      <c r="C67" s="238" t="s">
        <v>108</v>
      </c>
      <c r="D67" s="241">
        <f>400*2/5</f>
        <v>160</v>
      </c>
      <c r="E67" s="244">
        <v>20</v>
      </c>
      <c r="F67" s="243">
        <f>D67*E67</f>
        <v>3200</v>
      </c>
      <c r="G67" s="239">
        <f>400*3/5</f>
        <v>240</v>
      </c>
      <c r="H67" s="240">
        <v>20</v>
      </c>
      <c r="I67" s="245">
        <f>G67*H67</f>
        <v>4800</v>
      </c>
      <c r="L67" s="154"/>
    </row>
    <row r="68" spans="2:12" x14ac:dyDescent="0.25">
      <c r="C68" s="251" t="s">
        <v>107</v>
      </c>
      <c r="D68" s="277">
        <f>G12*2/5</f>
        <v>44</v>
      </c>
      <c r="E68" s="278">
        <f>G13</f>
        <v>248.89807162534436</v>
      </c>
      <c r="F68" s="279">
        <f>D68*E68</f>
        <v>10951.515151515152</v>
      </c>
      <c r="G68" s="239">
        <f>G12*3/5</f>
        <v>66</v>
      </c>
      <c r="H68" s="248">
        <f>G13</f>
        <v>248.89807162534436</v>
      </c>
      <c r="I68" s="249">
        <f>G68*H68</f>
        <v>16427.272727272728</v>
      </c>
    </row>
    <row r="69" spans="2:12" x14ac:dyDescent="0.25">
      <c r="C69" s="252" t="s">
        <v>109</v>
      </c>
      <c r="D69" s="280"/>
      <c r="E69" s="281"/>
      <c r="F69" s="282">
        <f>2000*2/5</f>
        <v>800</v>
      </c>
      <c r="G69" s="255"/>
      <c r="H69" s="256"/>
      <c r="I69" s="250">
        <f>2000*3/5</f>
        <v>1200</v>
      </c>
    </row>
    <row r="70" spans="2:12" ht="15.75" thickBot="1" x14ac:dyDescent="0.3">
      <c r="C70" s="253" t="s">
        <v>51</v>
      </c>
      <c r="D70" s="283">
        <v>1400</v>
      </c>
      <c r="E70" s="284">
        <f>F70/D70</f>
        <v>46.121420202020204</v>
      </c>
      <c r="F70" s="285">
        <f>SUM(F62:F69)</f>
        <v>64569.988282828286</v>
      </c>
      <c r="G70" s="257">
        <v>2100</v>
      </c>
      <c r="H70" s="259">
        <f>I70/G70</f>
        <v>46.121420202020204</v>
      </c>
      <c r="I70" s="258">
        <f>SUM(I62:I69)</f>
        <v>96854.982424242422</v>
      </c>
    </row>
    <row r="71" spans="2:12" x14ac:dyDescent="0.25">
      <c r="C71" s="254"/>
    </row>
    <row r="76" spans="2:12" ht="21.75" thickBot="1" x14ac:dyDescent="0.4">
      <c r="B76" s="12" t="s">
        <v>110</v>
      </c>
    </row>
    <row r="77" spans="2:12" ht="16.5" thickTop="1" thickBot="1" x14ac:dyDescent="0.3"/>
    <row r="78" spans="2:12" ht="18.75" x14ac:dyDescent="0.3">
      <c r="C78" s="19" t="s">
        <v>3</v>
      </c>
      <c r="D78" s="209" t="s">
        <v>40</v>
      </c>
      <c r="E78" s="210"/>
      <c r="F78" s="211"/>
      <c r="G78" s="92"/>
      <c r="H78" s="212" t="s">
        <v>41</v>
      </c>
      <c r="I78" s="213"/>
      <c r="J78" s="214"/>
    </row>
    <row r="79" spans="2:12" ht="16.5" thickBot="1" x14ac:dyDescent="0.3">
      <c r="C79" s="310"/>
      <c r="D79" s="98" t="s">
        <v>30</v>
      </c>
      <c r="E79" s="98" t="s">
        <v>31</v>
      </c>
      <c r="F79" s="98" t="s">
        <v>32</v>
      </c>
      <c r="G79" s="312"/>
      <c r="H79" s="110" t="s">
        <v>30</v>
      </c>
      <c r="I79" s="110" t="s">
        <v>34</v>
      </c>
      <c r="J79" s="111" t="s">
        <v>33</v>
      </c>
    </row>
    <row r="80" spans="2:12" x14ac:dyDescent="0.25">
      <c r="C80" s="6" t="s">
        <v>39</v>
      </c>
      <c r="D80" s="315">
        <v>2200</v>
      </c>
      <c r="E80" s="97">
        <v>66</v>
      </c>
      <c r="F80" s="316">
        <f>D80*E80</f>
        <v>145200</v>
      </c>
      <c r="G80" s="48" t="s">
        <v>41</v>
      </c>
      <c r="H80" s="315">
        <v>2500</v>
      </c>
      <c r="I80" s="317">
        <f>E82</f>
        <v>58.268888888888888</v>
      </c>
      <c r="J80" s="318">
        <f>H80*I80</f>
        <v>145672.22222222222</v>
      </c>
    </row>
    <row r="81" spans="2:10" ht="15.75" thickBot="1" x14ac:dyDescent="0.3">
      <c r="C81" s="6" t="s">
        <v>40</v>
      </c>
      <c r="D81" s="65">
        <v>1400</v>
      </c>
      <c r="E81" s="69">
        <v>46.12</v>
      </c>
      <c r="F81" s="67">
        <f>D81*E81</f>
        <v>64568</v>
      </c>
      <c r="G81" s="48" t="s">
        <v>42</v>
      </c>
      <c r="H81" s="65">
        <f>D82-H80</f>
        <v>1100</v>
      </c>
      <c r="I81" s="143">
        <f>E82</f>
        <v>58.268888888888888</v>
      </c>
      <c r="J81" s="146">
        <f>H81*I81</f>
        <v>64095.777777777774</v>
      </c>
    </row>
    <row r="82" spans="2:10" ht="19.5" thickBot="1" x14ac:dyDescent="0.35">
      <c r="C82" s="7" t="s">
        <v>43</v>
      </c>
      <c r="D82" s="70">
        <f>SUM(D80:D81)</f>
        <v>3600</v>
      </c>
      <c r="E82" s="134">
        <f>(F80+F81)/(D80+D81)</f>
        <v>58.268888888888888</v>
      </c>
      <c r="F82" s="67">
        <f>D82*E82</f>
        <v>209768</v>
      </c>
      <c r="G82" s="71" t="s">
        <v>43</v>
      </c>
      <c r="H82" s="72">
        <f>SUM(H80:H81)</f>
        <v>3600</v>
      </c>
      <c r="I82" s="152">
        <f>E82</f>
        <v>58.268888888888888</v>
      </c>
      <c r="J82" s="146">
        <f>H82*I82</f>
        <v>209768</v>
      </c>
    </row>
    <row r="85" spans="2:10" ht="15.75" thickBot="1" x14ac:dyDescent="0.3"/>
    <row r="86" spans="2:10" ht="18.75" x14ac:dyDescent="0.3">
      <c r="C86" s="19" t="s">
        <v>103</v>
      </c>
      <c r="D86" s="263" t="s">
        <v>40</v>
      </c>
      <c r="E86" s="264"/>
      <c r="F86" s="265"/>
      <c r="G86" s="92"/>
      <c r="H86" s="271" t="s">
        <v>41</v>
      </c>
      <c r="I86" s="272"/>
      <c r="J86" s="273"/>
    </row>
    <row r="87" spans="2:10" ht="16.5" thickBot="1" x14ac:dyDescent="0.3">
      <c r="C87" s="310"/>
      <c r="D87" s="311" t="s">
        <v>30</v>
      </c>
      <c r="E87" s="311" t="s">
        <v>31</v>
      </c>
      <c r="F87" s="311" t="s">
        <v>32</v>
      </c>
      <c r="G87" s="312"/>
      <c r="H87" s="313" t="s">
        <v>30</v>
      </c>
      <c r="I87" s="313" t="s">
        <v>34</v>
      </c>
      <c r="J87" s="314" t="s">
        <v>33</v>
      </c>
    </row>
    <row r="88" spans="2:10" x14ac:dyDescent="0.25">
      <c r="C88" s="6" t="s">
        <v>39</v>
      </c>
      <c r="D88" s="306">
        <v>2800</v>
      </c>
      <c r="E88" s="296">
        <v>64</v>
      </c>
      <c r="F88" s="307">
        <f>D88*E88</f>
        <v>179200</v>
      </c>
      <c r="G88" s="48" t="s">
        <v>41</v>
      </c>
      <c r="H88" s="306">
        <v>3600</v>
      </c>
      <c r="I88" s="308">
        <f>E90</f>
        <v>56.337142857142858</v>
      </c>
      <c r="J88" s="309">
        <f>H88*I88</f>
        <v>202813.71428571429</v>
      </c>
    </row>
    <row r="89" spans="2:10" ht="15.75" thickBot="1" x14ac:dyDescent="0.3">
      <c r="C89" s="6" t="s">
        <v>40</v>
      </c>
      <c r="D89" s="266">
        <v>2100</v>
      </c>
      <c r="E89" s="269">
        <v>46.12</v>
      </c>
      <c r="F89" s="268">
        <f>D89*E89</f>
        <v>96852</v>
      </c>
      <c r="G89" s="48" t="s">
        <v>42</v>
      </c>
      <c r="H89" s="266">
        <f>D90-H88</f>
        <v>1300</v>
      </c>
      <c r="I89" s="286">
        <f>E90</f>
        <v>56.337142857142858</v>
      </c>
      <c r="J89" s="287">
        <f>H89*I89</f>
        <v>73238.28571428571</v>
      </c>
    </row>
    <row r="90" spans="2:10" ht="19.5" thickBot="1" x14ac:dyDescent="0.35">
      <c r="C90" s="7" t="s">
        <v>43</v>
      </c>
      <c r="D90" s="270">
        <f>SUM(D88:D89)</f>
        <v>4900</v>
      </c>
      <c r="E90" s="289">
        <f>(F88+F89)/(D88+D89)</f>
        <v>56.337142857142858</v>
      </c>
      <c r="F90" s="268">
        <f>D90*E90</f>
        <v>276052</v>
      </c>
      <c r="G90" s="71" t="s">
        <v>43</v>
      </c>
      <c r="H90" s="275">
        <f>SUM(H88:H89)</f>
        <v>4900</v>
      </c>
      <c r="I90" s="288">
        <f>E90</f>
        <v>56.337142857142858</v>
      </c>
      <c r="J90" s="287">
        <f>H90*I90</f>
        <v>276052</v>
      </c>
    </row>
    <row r="96" spans="2:10" ht="21.75" thickBot="1" x14ac:dyDescent="0.4">
      <c r="B96" s="12" t="s">
        <v>75</v>
      </c>
    </row>
    <row r="97" spans="3:8" ht="15.75" thickTop="1" x14ac:dyDescent="0.25"/>
    <row r="98" spans="3:8" ht="4.5" customHeight="1" thickBot="1" x14ac:dyDescent="0.3"/>
    <row r="99" spans="3:8" ht="26.25" customHeight="1" thickBot="1" x14ac:dyDescent="0.3">
      <c r="C99" s="295" t="s">
        <v>111</v>
      </c>
      <c r="D99" s="300" t="s">
        <v>30</v>
      </c>
      <c r="E99" s="300" t="s">
        <v>31</v>
      </c>
      <c r="F99" s="301" t="s">
        <v>32</v>
      </c>
    </row>
    <row r="100" spans="3:8" x14ac:dyDescent="0.25">
      <c r="C100" s="294" t="s">
        <v>112</v>
      </c>
      <c r="D100" s="97">
        <v>2500</v>
      </c>
      <c r="E100" s="97">
        <v>58.26</v>
      </c>
      <c r="F100" s="107">
        <f>D100*E100</f>
        <v>145650</v>
      </c>
    </row>
    <row r="101" spans="3:8" x14ac:dyDescent="0.25">
      <c r="C101" s="291" t="s">
        <v>113</v>
      </c>
      <c r="D101" s="66">
        <v>1400</v>
      </c>
      <c r="E101" s="66">
        <v>4.7699999999999996</v>
      </c>
      <c r="F101" s="68">
        <f>D101*E101</f>
        <v>6677.9999999999991</v>
      </c>
      <c r="H101" t="s">
        <v>116</v>
      </c>
    </row>
    <row r="102" spans="3:8" ht="18.75" x14ac:dyDescent="0.3">
      <c r="C102" s="291" t="s">
        <v>78</v>
      </c>
      <c r="D102" s="66">
        <v>2500</v>
      </c>
      <c r="E102" s="290">
        <f>F102/D102</f>
        <v>60.931199999999997</v>
      </c>
      <c r="F102" s="68">
        <v>152328</v>
      </c>
      <c r="H102" t="s">
        <v>117</v>
      </c>
    </row>
    <row r="103" spans="3:8" x14ac:dyDescent="0.25">
      <c r="C103" s="292" t="s">
        <v>114</v>
      </c>
      <c r="D103" s="302">
        <v>2500</v>
      </c>
      <c r="E103" s="302">
        <v>60</v>
      </c>
      <c r="F103" s="68">
        <f>D103*E103</f>
        <v>150000</v>
      </c>
    </row>
    <row r="104" spans="3:8" ht="15.75" thickBot="1" x14ac:dyDescent="0.3">
      <c r="C104" s="293" t="s">
        <v>115</v>
      </c>
      <c r="D104" s="303">
        <v>2500</v>
      </c>
      <c r="E104" s="303">
        <v>-0.93</v>
      </c>
      <c r="F104" s="68">
        <f>F103-F102</f>
        <v>-2328</v>
      </c>
    </row>
    <row r="106" spans="3:8" ht="15.75" thickBot="1" x14ac:dyDescent="0.3"/>
    <row r="107" spans="3:8" ht="23.25" customHeight="1" thickBot="1" x14ac:dyDescent="0.3">
      <c r="C107" s="295" t="s">
        <v>118</v>
      </c>
      <c r="D107" s="300" t="s">
        <v>30</v>
      </c>
      <c r="E107" s="300" t="s">
        <v>31</v>
      </c>
      <c r="F107" s="301" t="s">
        <v>32</v>
      </c>
    </row>
    <row r="108" spans="3:8" x14ac:dyDescent="0.25">
      <c r="C108" s="294" t="s">
        <v>112</v>
      </c>
      <c r="D108" s="296">
        <v>3600</v>
      </c>
      <c r="E108" s="296">
        <v>56.33</v>
      </c>
      <c r="F108" s="297">
        <f>D108*E108</f>
        <v>202788</v>
      </c>
    </row>
    <row r="109" spans="3:8" x14ac:dyDescent="0.25">
      <c r="C109" s="291" t="s">
        <v>113</v>
      </c>
      <c r="D109" s="267">
        <v>2100</v>
      </c>
      <c r="E109" s="267">
        <v>4.7699999999999996</v>
      </c>
      <c r="F109" s="274">
        <f>D109*E109</f>
        <v>10017</v>
      </c>
    </row>
    <row r="110" spans="3:8" ht="18.75" x14ac:dyDescent="0.3">
      <c r="C110" s="291" t="s">
        <v>78</v>
      </c>
      <c r="D110" s="267">
        <v>3600</v>
      </c>
      <c r="E110" s="298">
        <v>59.11</v>
      </c>
      <c r="F110" s="274">
        <f>E110*D110</f>
        <v>212796</v>
      </c>
    </row>
    <row r="111" spans="3:8" x14ac:dyDescent="0.25">
      <c r="C111" s="292" t="s">
        <v>114</v>
      </c>
      <c r="D111" s="267">
        <v>3600</v>
      </c>
      <c r="E111" s="231">
        <v>75</v>
      </c>
      <c r="F111" s="274">
        <f>D111*E111</f>
        <v>270000</v>
      </c>
    </row>
    <row r="112" spans="3:8" ht="15.75" thickBot="1" x14ac:dyDescent="0.3">
      <c r="C112" s="293" t="s">
        <v>115</v>
      </c>
      <c r="D112" s="276">
        <v>3600</v>
      </c>
      <c r="E112" s="299">
        <v>-0.93</v>
      </c>
      <c r="F112" s="305">
        <f>F111-F110</f>
        <v>57204</v>
      </c>
    </row>
    <row r="114" spans="3:4" ht="15.75" thickBot="1" x14ac:dyDescent="0.3"/>
    <row r="115" spans="3:4" ht="15.75" thickBot="1" x14ac:dyDescent="0.3">
      <c r="C115" s="21" t="s">
        <v>119</v>
      </c>
      <c r="D115" s="304">
        <v>54867</v>
      </c>
    </row>
  </sheetData>
  <mergeCells count="21">
    <mergeCell ref="D60:F60"/>
    <mergeCell ref="G60:I60"/>
    <mergeCell ref="D78:F78"/>
    <mergeCell ref="H78:J78"/>
    <mergeCell ref="D86:F86"/>
    <mergeCell ref="H86:J86"/>
    <mergeCell ref="C49:C50"/>
    <mergeCell ref="D49:F49"/>
    <mergeCell ref="H49:J49"/>
    <mergeCell ref="J23:L23"/>
    <mergeCell ref="C35:C36"/>
    <mergeCell ref="D35:F35"/>
    <mergeCell ref="H35:J35"/>
    <mergeCell ref="C42:C43"/>
    <mergeCell ref="D42:F42"/>
    <mergeCell ref="H42:J42"/>
    <mergeCell ref="B5:B6"/>
    <mergeCell ref="C5:D5"/>
    <mergeCell ref="E5:H5"/>
    <mergeCell ref="D23:F23"/>
    <mergeCell ref="G23:I2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Coût complet</vt:lpstr>
      <vt:lpstr>Sujet 2014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2018-02-08T09:45:59Z</dcterms:created>
  <dcterms:modified xsi:type="dcterms:W3CDTF">2018-03-01T09:22:09Z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bd44003b-fae4-4e6c-8565-7db9f0f26d18</vt:lpwstr>
  </property>
</Properties>
</file>