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Exercice 1" sheetId="1" r:id="rId1"/>
    <sheet name="Exercice 2" sheetId="2" r:id="rId2"/>
    <sheet name="Exercice 3" sheetId="3" r:id="rId3"/>
    <sheet name="Exercice 4" sheetId="4" r:id="rId4"/>
  </sheets>
  <calcPr calcId="152511"/>
  <fileRecoveryPr repairLoad="1"/>
</workbook>
</file>

<file path=xl/calcChain.xml><?xml version="1.0" encoding="utf-8"?>
<calcChain xmlns="http://schemas.openxmlformats.org/spreadsheetml/2006/main">
  <c r="C62" i="4" l="1"/>
  <c r="C61" i="4"/>
  <c r="C60" i="4"/>
  <c r="I58" i="4"/>
  <c r="I17" i="4"/>
  <c r="I38" i="4"/>
  <c r="L48" i="4"/>
  <c r="L55" i="4"/>
  <c r="L37" i="4"/>
  <c r="J53" i="4"/>
  <c r="L53" i="4" s="1"/>
  <c r="L52" i="4"/>
  <c r="L51" i="4"/>
  <c r="J50" i="4"/>
  <c r="L50" i="4" s="1"/>
  <c r="L57" i="4"/>
  <c r="I57" i="4"/>
  <c r="L56" i="4"/>
  <c r="I56" i="4"/>
  <c r="F55" i="4"/>
  <c r="L54" i="4"/>
  <c r="I54" i="4"/>
  <c r="I53" i="4"/>
  <c r="I52" i="4"/>
  <c r="J51" i="4"/>
  <c r="F51" i="4"/>
  <c r="I50" i="4"/>
  <c r="L49" i="4"/>
  <c r="I49" i="4"/>
  <c r="I48" i="4"/>
  <c r="L47" i="4"/>
  <c r="F47" i="4"/>
  <c r="L46" i="4"/>
  <c r="I46" i="4"/>
  <c r="L45" i="4"/>
  <c r="I45" i="4"/>
  <c r="L44" i="4"/>
  <c r="L35" i="4"/>
  <c r="I35" i="4"/>
  <c r="L34" i="4"/>
  <c r="L32" i="4"/>
  <c r="I32" i="4"/>
  <c r="L31" i="4"/>
  <c r="L30" i="4"/>
  <c r="L27" i="4"/>
  <c r="L28" i="4"/>
  <c r="I28" i="4"/>
  <c r="L26" i="4"/>
  <c r="I37" i="4"/>
  <c r="L36" i="4"/>
  <c r="I36" i="4"/>
  <c r="F34" i="4"/>
  <c r="L33" i="4"/>
  <c r="I33" i="4"/>
  <c r="I31" i="4"/>
  <c r="J30" i="4"/>
  <c r="F30" i="4"/>
  <c r="L29" i="4"/>
  <c r="J29" i="4"/>
  <c r="I29" i="4"/>
  <c r="I27" i="4"/>
  <c r="F26" i="4"/>
  <c r="L25" i="4"/>
  <c r="I25" i="4"/>
  <c r="L24" i="4"/>
  <c r="I24" i="4"/>
  <c r="L23" i="4"/>
  <c r="L11" i="4"/>
  <c r="L12" i="4"/>
  <c r="L13" i="4"/>
  <c r="L14" i="4"/>
  <c r="L15" i="4"/>
  <c r="L16" i="4"/>
  <c r="O10" i="4"/>
  <c r="J11" i="4"/>
  <c r="O9" i="4"/>
  <c r="J10" i="4"/>
  <c r="O8" i="4"/>
  <c r="F11" i="4" l="1"/>
  <c r="F14" i="4"/>
  <c r="I12" i="4"/>
  <c r="I13" i="4"/>
  <c r="I15" i="4"/>
  <c r="I16" i="4"/>
  <c r="I7" i="4"/>
  <c r="I9" i="4"/>
  <c r="I10" i="4"/>
  <c r="F8" i="4"/>
  <c r="L10" i="4"/>
  <c r="L9" i="4"/>
  <c r="L8" i="4"/>
  <c r="L7" i="4"/>
  <c r="L6" i="4"/>
  <c r="I6" i="4"/>
  <c r="L5" i="4"/>
  <c r="C9" i="3" l="1"/>
  <c r="C5" i="3"/>
  <c r="C4" i="3"/>
  <c r="C6" i="3"/>
  <c r="C10" i="2"/>
  <c r="D10" i="2"/>
  <c r="E10" i="2"/>
  <c r="F10" i="2"/>
  <c r="G10" i="2"/>
  <c r="H10" i="2"/>
  <c r="I10" i="2" l="1"/>
  <c r="C8" i="2"/>
  <c r="C6" i="2"/>
  <c r="C28" i="1"/>
  <c r="C26" i="1"/>
  <c r="C25" i="1"/>
  <c r="C24" i="1"/>
  <c r="C23" i="1"/>
  <c r="C22" i="1"/>
  <c r="C13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<sst xmlns="http://schemas.openxmlformats.org/spreadsheetml/2006/main" count="122" uniqueCount="69">
  <si>
    <t>CHARGES</t>
  </si>
  <si>
    <t>CONSERVES HARICOTS</t>
  </si>
  <si>
    <t>MONTANTS</t>
  </si>
  <si>
    <t>PRODUITS</t>
  </si>
  <si>
    <t>Achats de haricots verts</t>
  </si>
  <si>
    <t>Ventes de conserves de haricots verts</t>
  </si>
  <si>
    <t>Variation du stock de haricots</t>
  </si>
  <si>
    <t>Charges de personnel</t>
  </si>
  <si>
    <t>Charges financières</t>
  </si>
  <si>
    <t>?</t>
  </si>
  <si>
    <t>Dotations aux amortissements et provisions</t>
  </si>
  <si>
    <t>Bénéfice</t>
  </si>
  <si>
    <t>Total:</t>
  </si>
  <si>
    <t>Services extérieurs</t>
  </si>
  <si>
    <t>Impôts et taxes</t>
  </si>
  <si>
    <t>CONSERVES PETITS POIS</t>
  </si>
  <si>
    <t>Achats de petits pois</t>
  </si>
  <si>
    <t>Variation du stock de petits pois</t>
  </si>
  <si>
    <t>Ventes de conserves de petits pois</t>
  </si>
  <si>
    <t>Perte</t>
  </si>
  <si>
    <t>Intitulé</t>
  </si>
  <si>
    <t>Montant</t>
  </si>
  <si>
    <t>Charges non incorporables</t>
  </si>
  <si>
    <t>Incorporables</t>
  </si>
  <si>
    <t>Retraitement</t>
  </si>
  <si>
    <t>Charges incorp. corrigées</t>
  </si>
  <si>
    <t>Supplétives</t>
  </si>
  <si>
    <t>Charges incorporées</t>
  </si>
  <si>
    <t>Charges exceptionnelles</t>
  </si>
  <si>
    <t>Dotations aux amortissements</t>
  </si>
  <si>
    <t>Dotations aux dépréciations</t>
  </si>
  <si>
    <t>Comptes de charges</t>
  </si>
  <si>
    <t>Rémunération des K propres</t>
  </si>
  <si>
    <t>Rémunération de l'exploitant</t>
  </si>
  <si>
    <t xml:space="preserve">TOTAUX </t>
  </si>
  <si>
    <t>Immobilisation amorties linéairement</t>
  </si>
  <si>
    <t>Immobilisation amorties dégressif</t>
  </si>
  <si>
    <t>Rémunération K propres</t>
  </si>
  <si>
    <t>Charges comptabilisées</t>
  </si>
  <si>
    <t>TOTAUX :</t>
  </si>
  <si>
    <t>ENTREES</t>
  </si>
  <si>
    <t>SORTIES</t>
  </si>
  <si>
    <t>STOCK</t>
  </si>
  <si>
    <t>Date</t>
  </si>
  <si>
    <t>Quantité</t>
  </si>
  <si>
    <t>Prix unitaire</t>
  </si>
  <si>
    <t>METHODE CMUP après chaque entrée</t>
  </si>
  <si>
    <t>CMUP 1 =</t>
  </si>
  <si>
    <t xml:space="preserve">CMUP 2 = </t>
  </si>
  <si>
    <t>CMUP 3 =</t>
  </si>
  <si>
    <t>METHODE FIFO</t>
  </si>
  <si>
    <t>Lot 2</t>
  </si>
  <si>
    <t>Lot 3</t>
  </si>
  <si>
    <t>Lot 4</t>
  </si>
  <si>
    <t>Lot 1</t>
  </si>
  <si>
    <t>680 à 6€ et 1320 à 8,1€</t>
  </si>
  <si>
    <t>80 à 6€ et 1320 à 8,1€</t>
  </si>
  <si>
    <t>600 à 8,10€ et 1400 à 7,05€</t>
  </si>
  <si>
    <t>METHODE LIFO</t>
  </si>
  <si>
    <t>800 à 5€ et 1200 à 6€</t>
  </si>
  <si>
    <t>200 à 5€ et 1200 à 6€</t>
  </si>
  <si>
    <t>800 à 5€ et 600 à 6€</t>
  </si>
  <si>
    <t>680 à 5€ et 1320 à 8,1€</t>
  </si>
  <si>
    <t>680 à 5€ et 720 à 8,1€</t>
  </si>
  <si>
    <t>600 à 5€ et 1400 à 7,05€</t>
  </si>
  <si>
    <t>CMUP</t>
  </si>
  <si>
    <t>FIFO</t>
  </si>
  <si>
    <t>LIFO</t>
  </si>
  <si>
    <t>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</si>
</sst>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9" xfId="0" applyFont="1" applyBorder="1"/>
    <xf numFmtId="0" fontId="0" fillId="0" borderId="10" xfId="0" applyBorder="1"/>
    <xf numFmtId="0" fontId="1" fillId="0" borderId="11" xfId="0" applyFont="1" applyBorder="1"/>
    <xf numFmtId="0" fontId="0" fillId="0" borderId="3" xfId="0" applyNumberFormat="1" applyBorder="1"/>
    <xf numFmtId="0" fontId="0" fillId="0" borderId="5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9" xfId="0" applyNumberFormat="1" applyBorder="1"/>
    <xf numFmtId="0" fontId="0" fillId="0" borderId="10" xfId="0" applyNumberForma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/>
    <xf numFmtId="9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/>
    </xf>
    <xf numFmtId="16" fontId="0" fillId="0" borderId="0" xfId="0" applyNumberForma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3" borderId="1" xfId="0" applyFill="1" applyBorder="1"/>
    <xf numFmtId="0" fontId="0" fillId="3" borderId="21" xfId="0" applyFill="1" applyBorder="1"/>
    <xf numFmtId="0" fontId="3" fillId="3" borderId="25" xfId="0" applyFont="1" applyFill="1" applyBorder="1" applyAlignment="1">
      <alignment horizontal="center"/>
    </xf>
    <xf numFmtId="6" fontId="3" fillId="3" borderId="32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8" fontId="3" fillId="3" borderId="1" xfId="0" applyNumberFormat="1" applyFont="1" applyFill="1" applyBorder="1" applyAlignment="1">
      <alignment horizontal="center"/>
    </xf>
    <xf numFmtId="6" fontId="3" fillId="3" borderId="21" xfId="0" applyNumberFormat="1" applyFont="1" applyFill="1" applyBorder="1" applyAlignment="1">
      <alignment horizontal="center"/>
    </xf>
    <xf numFmtId="6" fontId="3" fillId="3" borderId="1" xfId="0" applyNumberFormat="1" applyFont="1" applyFill="1" applyBorder="1" applyAlignment="1">
      <alignment horizontal="center"/>
    </xf>
    <xf numFmtId="0" fontId="3" fillId="3" borderId="23" xfId="0" applyFont="1" applyFill="1" applyBorder="1"/>
    <xf numFmtId="8" fontId="3" fillId="3" borderId="23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8" fontId="3" fillId="4" borderId="1" xfId="0" applyNumberFormat="1" applyFont="1" applyFill="1" applyBorder="1" applyAlignment="1">
      <alignment horizontal="center"/>
    </xf>
    <xf numFmtId="6" fontId="3" fillId="4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6" fontId="3" fillId="3" borderId="19" xfId="0" applyNumberFormat="1" applyFont="1" applyFill="1" applyBorder="1" applyAlignment="1">
      <alignment horizontal="center"/>
    </xf>
    <xf numFmtId="6" fontId="3" fillId="4" borderId="19" xfId="0" applyNumberFormat="1" applyFont="1" applyFill="1" applyBorder="1" applyAlignment="1">
      <alignment horizontal="center"/>
    </xf>
    <xf numFmtId="6" fontId="3" fillId="3" borderId="40" xfId="0" applyNumberFormat="1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8" fontId="3" fillId="3" borderId="21" xfId="0" applyNumberFormat="1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8" fontId="3" fillId="4" borderId="21" xfId="0" applyNumberFormat="1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8" fontId="3" fillId="3" borderId="24" xfId="0" applyNumberFormat="1" applyFont="1" applyFill="1" applyBorder="1" applyAlignment="1">
      <alignment horizontal="center"/>
    </xf>
    <xf numFmtId="0" fontId="3" fillId="3" borderId="26" xfId="0" applyFont="1" applyFill="1" applyBorder="1"/>
    <xf numFmtId="16" fontId="3" fillId="3" borderId="30" xfId="0" applyNumberFormat="1" applyFont="1" applyFill="1" applyBorder="1" applyAlignment="1">
      <alignment horizontal="center"/>
    </xf>
    <xf numFmtId="16" fontId="3" fillId="3" borderId="28" xfId="0" applyNumberFormat="1" applyFont="1" applyFill="1" applyBorder="1" applyAlignment="1">
      <alignment horizontal="center"/>
    </xf>
    <xf numFmtId="16" fontId="3" fillId="4" borderId="28" xfId="0" applyNumberFormat="1" applyFont="1" applyFill="1" applyBorder="1" applyAlignment="1">
      <alignment horizontal="center"/>
    </xf>
    <xf numFmtId="16" fontId="3" fillId="4" borderId="28" xfId="0" applyNumberFormat="1" applyFont="1" applyFill="1" applyBorder="1"/>
    <xf numFmtId="16" fontId="3" fillId="3" borderId="28" xfId="0" applyNumberFormat="1" applyFont="1" applyFill="1" applyBorder="1"/>
    <xf numFmtId="16" fontId="3" fillId="3" borderId="29" xfId="0" applyNumberFormat="1" applyFont="1" applyFill="1" applyBorder="1"/>
    <xf numFmtId="6" fontId="4" fillId="3" borderId="24" xfId="0" applyNumberFormat="1" applyFont="1" applyFill="1" applyBorder="1" applyAlignment="1">
      <alignment horizontal="center"/>
    </xf>
    <xf numFmtId="8" fontId="3" fillId="3" borderId="10" xfId="0" applyNumberFormat="1" applyFont="1" applyFill="1" applyBorder="1" applyAlignment="1">
      <alignment horizontal="center"/>
    </xf>
    <xf numFmtId="0" fontId="5" fillId="0" borderId="0" xfId="0" applyFont="1"/>
    <xf numFmtId="0" fontId="5" fillId="3" borderId="3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6" fontId="3" fillId="3" borderId="41" xfId="0" applyNumberFormat="1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16" fontId="3" fillId="3" borderId="29" xfId="0" applyNumberFormat="1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" fillId="3" borderId="22" xfId="0" applyFont="1" applyFill="1" applyBorder="1"/>
    <xf numFmtId="6" fontId="3" fillId="3" borderId="24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0" fillId="3" borderId="20" xfId="0" applyFill="1" applyBorder="1"/>
    <xf numFmtId="8" fontId="0" fillId="3" borderId="0" xfId="0" applyNumberFormat="1" applyFill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0" fillId="0" borderId="0" xfId="0" applyFill="1"/>
    <xf numFmtId="0" fontId="5" fillId="3" borderId="26" xfId="0" applyFont="1" applyFill="1" applyBorder="1" applyAlignment="1">
      <alignment horizontal="center"/>
    </xf>
    <xf numFmtId="8" fontId="3" fillId="5" borderId="27" xfId="0" applyNumberFormat="1" applyFont="1" applyFill="1" applyBorder="1" applyAlignment="1">
      <alignment horizontal="center"/>
    </xf>
    <xf numFmtId="0" fontId="0" fillId="0" borderId="1" xfId="0" applyFill="1" applyBorder="1"/>
    <xf numFmtId="0" fontId="1" fillId="5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workbookViewId="0">
      <selection activeCell="D24" sqref="D24"/>
    </sheetView>
  </sheetViews>
  <sheetFormatPr defaultRowHeight="15" x14ac:dyDescent="0.25"/>
  <cols>
    <col min="2" max="2" width="41.5703125" customWidth="1"/>
    <col min="3" max="3" width="15.28515625" customWidth="1"/>
    <col min="4" max="4" width="39.28515625" customWidth="1"/>
    <col min="5" max="5" width="15.85546875" customWidth="1"/>
  </cols>
  <sheetData>
    <row r="2" spans="1:5" x14ac:dyDescent="0.25">
      <c r="B2" s="22" t="s">
        <v>1</v>
      </c>
      <c r="C2" s="22"/>
      <c r="D2" s="22"/>
      <c r="E2" s="22"/>
    </row>
    <row r="4" spans="1:5" x14ac:dyDescent="0.25">
      <c r="B4" s="3" t="s">
        <v>0</v>
      </c>
      <c r="C4" s="3" t="s">
        <v>2</v>
      </c>
      <c r="D4" s="3" t="s">
        <v>3</v>
      </c>
      <c r="E4" s="3" t="s">
        <v>2</v>
      </c>
    </row>
    <row r="5" spans="1:5" x14ac:dyDescent="0.25">
      <c r="B5" s="10" t="s">
        <v>4</v>
      </c>
      <c r="C5" s="10">
        <v>300000</v>
      </c>
      <c r="D5" s="10" t="s">
        <v>5</v>
      </c>
      <c r="E5" s="5">
        <v>410000</v>
      </c>
    </row>
    <row r="6" spans="1:5" x14ac:dyDescent="0.25">
      <c r="B6" s="11" t="s">
        <v>6</v>
      </c>
      <c r="C6" s="11">
        <v>-20000</v>
      </c>
      <c r="D6" s="11"/>
      <c r="E6" s="7"/>
    </row>
    <row r="7" spans="1:5" x14ac:dyDescent="0.25">
      <c r="A7" t="s">
        <v>9</v>
      </c>
      <c r="B7" s="12" t="s">
        <v>13</v>
      </c>
      <c r="C7" s="12">
        <f>15000*2/3</f>
        <v>10000</v>
      </c>
      <c r="D7" s="11"/>
      <c r="E7" s="7"/>
    </row>
    <row r="8" spans="1:5" x14ac:dyDescent="0.25">
      <c r="A8" t="s">
        <v>9</v>
      </c>
      <c r="B8" s="12" t="s">
        <v>14</v>
      </c>
      <c r="C8" s="12">
        <f>12000*0.65</f>
        <v>7800</v>
      </c>
      <c r="D8" s="11"/>
      <c r="E8" s="7"/>
    </row>
    <row r="9" spans="1:5" x14ac:dyDescent="0.25">
      <c r="B9" s="11" t="s">
        <v>7</v>
      </c>
      <c r="C9" s="11">
        <f>160000*3/5</f>
        <v>96000</v>
      </c>
      <c r="D9" s="11"/>
      <c r="E9" s="7"/>
    </row>
    <row r="10" spans="1:5" x14ac:dyDescent="0.25">
      <c r="B10" s="11" t="s">
        <v>8</v>
      </c>
      <c r="C10" s="11">
        <f>16500*0.6</f>
        <v>9900</v>
      </c>
      <c r="D10" s="11"/>
      <c r="E10" s="7"/>
    </row>
    <row r="11" spans="1:5" x14ac:dyDescent="0.25">
      <c r="B11" s="13" t="s">
        <v>10</v>
      </c>
      <c r="C11" s="13">
        <f>22000*0.5</f>
        <v>11000</v>
      </c>
      <c r="D11" s="13"/>
      <c r="E11" s="9"/>
    </row>
    <row r="12" spans="1:5" x14ac:dyDescent="0.25">
      <c r="B12" s="1"/>
      <c r="C12" s="2"/>
      <c r="D12" s="14" t="s">
        <v>19</v>
      </c>
      <c r="E12" s="2">
        <v>4700</v>
      </c>
    </row>
    <row r="13" spans="1:5" x14ac:dyDescent="0.25">
      <c r="B13" s="1" t="s">
        <v>12</v>
      </c>
      <c r="C13" s="2">
        <f>SUM(C5:C11)</f>
        <v>414700</v>
      </c>
      <c r="D13" s="1" t="s">
        <v>12</v>
      </c>
      <c r="E13" s="2">
        <v>410000</v>
      </c>
    </row>
    <row r="17" spans="2:5" x14ac:dyDescent="0.25">
      <c r="B17" s="22" t="s">
        <v>15</v>
      </c>
      <c r="C17" s="22"/>
      <c r="D17" s="22"/>
      <c r="E17" s="22"/>
    </row>
    <row r="19" spans="2:5" x14ac:dyDescent="0.25">
      <c r="B19" s="3" t="s">
        <v>0</v>
      </c>
      <c r="C19" s="3" t="s">
        <v>2</v>
      </c>
      <c r="D19" s="3" t="s">
        <v>3</v>
      </c>
      <c r="E19" s="3" t="s">
        <v>2</v>
      </c>
    </row>
    <row r="20" spans="2:5" x14ac:dyDescent="0.25">
      <c r="B20" s="10" t="s">
        <v>16</v>
      </c>
      <c r="C20" s="10">
        <v>200000</v>
      </c>
      <c r="D20" s="10" t="s">
        <v>18</v>
      </c>
      <c r="E20" s="5">
        <v>335000</v>
      </c>
    </row>
    <row r="21" spans="2:5" x14ac:dyDescent="0.25">
      <c r="B21" s="11" t="s">
        <v>17</v>
      </c>
      <c r="C21" s="11">
        <v>30000</v>
      </c>
      <c r="D21" s="11"/>
      <c r="E21" s="7"/>
    </row>
    <row r="22" spans="2:5" x14ac:dyDescent="0.25">
      <c r="B22" s="12" t="s">
        <v>13</v>
      </c>
      <c r="C22" s="12">
        <f>15000*1/3</f>
        <v>5000</v>
      </c>
      <c r="D22" s="11"/>
      <c r="E22" s="7"/>
    </row>
    <row r="23" spans="2:5" x14ac:dyDescent="0.25">
      <c r="B23" s="12" t="s">
        <v>14</v>
      </c>
      <c r="C23" s="12">
        <f>12000*0.35</f>
        <v>4200</v>
      </c>
      <c r="D23" s="11"/>
      <c r="E23" s="7"/>
    </row>
    <row r="24" spans="2:5" x14ac:dyDescent="0.25">
      <c r="B24" s="11" t="s">
        <v>7</v>
      </c>
      <c r="C24" s="11">
        <f>160000*2/5</f>
        <v>64000</v>
      </c>
      <c r="D24" s="11"/>
      <c r="E24" s="7"/>
    </row>
    <row r="25" spans="2:5" x14ac:dyDescent="0.25">
      <c r="B25" s="11" t="s">
        <v>8</v>
      </c>
      <c r="C25" s="11">
        <f>16500*0.4</f>
        <v>6600</v>
      </c>
      <c r="D25" s="11"/>
      <c r="E25" s="7"/>
    </row>
    <row r="26" spans="2:5" x14ac:dyDescent="0.25">
      <c r="B26" s="13" t="s">
        <v>10</v>
      </c>
      <c r="C26" s="13">
        <f>22000*0.5</f>
        <v>11000</v>
      </c>
      <c r="D26" s="13"/>
      <c r="E26" s="9"/>
    </row>
    <row r="27" spans="2:5" x14ac:dyDescent="0.25">
      <c r="B27" s="1" t="s">
        <v>11</v>
      </c>
      <c r="C27" s="2">
        <v>14200</v>
      </c>
      <c r="D27" s="14"/>
      <c r="E27" s="2"/>
    </row>
    <row r="28" spans="2:5" x14ac:dyDescent="0.25">
      <c r="B28" s="1" t="s">
        <v>12</v>
      </c>
      <c r="C28" s="2">
        <f>SUM(C20:C26)</f>
        <v>320800</v>
      </c>
      <c r="D28" s="1" t="s">
        <v>12</v>
      </c>
      <c r="E28" s="2">
        <v>335000</v>
      </c>
    </row>
  </sheetData>
  <mergeCells count="2">
    <mergeCell ref="B2:E2"/>
    <mergeCell ref="B17:E17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0"/>
  <sheetViews>
    <sheetView workbookViewId="0">
      <selection activeCell="E20" sqref="E20"/>
    </sheetView>
  </sheetViews>
  <sheetFormatPr defaultRowHeight="15" x14ac:dyDescent="0.25"/>
  <cols>
    <col min="1" max="1" width="5.140625" customWidth="1"/>
    <col min="2" max="2" width="29.28515625" customWidth="1"/>
    <col min="3" max="3" width="12.140625" customWidth="1"/>
    <col min="4" max="4" width="28.5703125" customWidth="1"/>
    <col min="5" max="5" width="16" customWidth="1"/>
    <col min="6" max="6" width="17.28515625" customWidth="1"/>
    <col min="7" max="7" width="24.28515625" customWidth="1"/>
    <col min="8" max="8" width="17.85546875" customWidth="1"/>
    <col min="9" max="9" width="21.7109375" customWidth="1"/>
  </cols>
  <sheetData>
    <row r="3" spans="2:9" x14ac:dyDescent="0.25">
      <c r="B3" s="21" t="s">
        <v>20</v>
      </c>
      <c r="C3" s="21" t="s">
        <v>21</v>
      </c>
      <c r="D3" s="21" t="s">
        <v>22</v>
      </c>
      <c r="E3" s="21" t="s">
        <v>23</v>
      </c>
      <c r="F3" s="21" t="s">
        <v>24</v>
      </c>
      <c r="G3" s="21" t="s">
        <v>25</v>
      </c>
      <c r="H3" s="21" t="s">
        <v>26</v>
      </c>
      <c r="I3" s="21" t="s">
        <v>27</v>
      </c>
    </row>
    <row r="4" spans="2:9" x14ac:dyDescent="0.25">
      <c r="B4" s="4" t="s">
        <v>31</v>
      </c>
      <c r="C4" s="18">
        <v>50000</v>
      </c>
      <c r="D4" s="18"/>
      <c r="E4" s="18">
        <v>50000</v>
      </c>
      <c r="F4" s="18"/>
      <c r="G4" s="18"/>
      <c r="H4" s="18"/>
      <c r="I4" s="15">
        <v>50000</v>
      </c>
    </row>
    <row r="5" spans="2:9" x14ac:dyDescent="0.25">
      <c r="B5" s="6" t="s">
        <v>28</v>
      </c>
      <c r="C5" s="19">
        <v>60</v>
      </c>
      <c r="D5" s="19">
        <v>60</v>
      </c>
      <c r="E5" s="19"/>
      <c r="F5" s="19"/>
      <c r="G5" s="19"/>
      <c r="H5" s="19"/>
      <c r="I5" s="16">
        <v>0</v>
      </c>
    </row>
    <row r="6" spans="2:9" x14ac:dyDescent="0.25">
      <c r="B6" s="6" t="s">
        <v>29</v>
      </c>
      <c r="C6" s="19">
        <f>2400/12</f>
        <v>200</v>
      </c>
      <c r="D6" s="19"/>
      <c r="E6" s="19">
        <v>200</v>
      </c>
      <c r="F6" s="19"/>
      <c r="G6" s="19"/>
      <c r="H6" s="19"/>
      <c r="I6" s="16">
        <v>200</v>
      </c>
    </row>
    <row r="7" spans="2:9" x14ac:dyDescent="0.25">
      <c r="B7" s="6" t="s">
        <v>30</v>
      </c>
      <c r="C7" s="19">
        <v>1200</v>
      </c>
      <c r="D7" s="19"/>
      <c r="E7" s="19">
        <v>100</v>
      </c>
      <c r="F7" s="19"/>
      <c r="G7" s="19"/>
      <c r="H7" s="19"/>
      <c r="I7" s="16">
        <v>100</v>
      </c>
    </row>
    <row r="8" spans="2:9" x14ac:dyDescent="0.25">
      <c r="B8" s="6" t="s">
        <v>32</v>
      </c>
      <c r="C8" s="19">
        <f>400000*0.06/12</f>
        <v>2000</v>
      </c>
      <c r="D8" s="19"/>
      <c r="E8" s="19"/>
      <c r="F8" s="19"/>
      <c r="G8" s="19"/>
      <c r="H8" s="19">
        <v>2000</v>
      </c>
      <c r="I8" s="16">
        <v>2000</v>
      </c>
    </row>
    <row r="9" spans="2:9" x14ac:dyDescent="0.25">
      <c r="B9" s="8" t="s">
        <v>33</v>
      </c>
      <c r="C9" s="20">
        <v>500</v>
      </c>
      <c r="D9" s="20"/>
      <c r="E9" s="20"/>
      <c r="F9" s="20"/>
      <c r="G9" s="20"/>
      <c r="H9" s="20">
        <v>500</v>
      </c>
      <c r="I9" s="17">
        <v>500</v>
      </c>
    </row>
    <row r="10" spans="2:9" x14ac:dyDescent="0.25">
      <c r="B10" s="2" t="s">
        <v>34</v>
      </c>
      <c r="C10" s="2">
        <f t="shared" ref="C10:H10" si="0">SUM(C4:C9)</f>
        <v>53960</v>
      </c>
      <c r="D10" s="2">
        <f t="shared" si="0"/>
        <v>60</v>
      </c>
      <c r="E10" s="2">
        <f t="shared" si="0"/>
        <v>50300</v>
      </c>
      <c r="F10" s="2">
        <f t="shared" si="0"/>
        <v>0</v>
      </c>
      <c r="G10" s="2">
        <f t="shared" si="0"/>
        <v>0</v>
      </c>
      <c r="H10" s="2">
        <f t="shared" si="0"/>
        <v>2500</v>
      </c>
      <c r="I10" s="23">
        <f>SUM(I4:I9)</f>
        <v>52800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9"/>
  <sheetViews>
    <sheetView workbookViewId="0">
      <selection activeCell="B11" sqref="B11"/>
    </sheetView>
  </sheetViews>
  <sheetFormatPr defaultRowHeight="15" x14ac:dyDescent="0.25"/>
  <cols>
    <col min="2" max="2" width="36.140625" customWidth="1"/>
    <col min="3" max="3" width="21.28515625" customWidth="1"/>
  </cols>
  <sheetData>
    <row r="4" spans="1:3" x14ac:dyDescent="0.25">
      <c r="A4" s="24"/>
      <c r="B4" s="28" t="s">
        <v>35</v>
      </c>
      <c r="C4" s="26">
        <f>-600/12</f>
        <v>-50</v>
      </c>
    </row>
    <row r="5" spans="1:3" x14ac:dyDescent="0.25">
      <c r="A5" s="30">
        <v>1.75</v>
      </c>
      <c r="B5" s="28" t="s">
        <v>36</v>
      </c>
      <c r="C5" s="26">
        <f>(2000-0.35*5000)/12</f>
        <v>20.833333333333332</v>
      </c>
    </row>
    <row r="6" spans="1:3" x14ac:dyDescent="0.25">
      <c r="B6" s="28" t="s">
        <v>37</v>
      </c>
      <c r="C6" s="26">
        <f>120000*0.04/12</f>
        <v>400</v>
      </c>
    </row>
    <row r="7" spans="1:3" x14ac:dyDescent="0.25">
      <c r="B7" s="28" t="s">
        <v>33</v>
      </c>
      <c r="C7" s="26">
        <v>3000</v>
      </c>
    </row>
    <row r="8" spans="1:3" x14ac:dyDescent="0.25">
      <c r="B8" s="28" t="s">
        <v>38</v>
      </c>
      <c r="C8" s="26">
        <v>40000</v>
      </c>
    </row>
    <row r="9" spans="1:3" x14ac:dyDescent="0.25">
      <c r="B9" s="29" t="s">
        <v>39</v>
      </c>
      <c r="C9" s="27">
        <f>SUM(C4:C8)</f>
        <v>43370.833333333336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A30" workbookViewId="0">
      <selection activeCell="G57" sqref="G57"/>
    </sheetView>
  </sheetViews>
  <sheetFormatPr defaultRowHeight="15" x14ac:dyDescent="0.25"/>
  <cols>
    <col min="3" max="3" width="9.5703125" customWidth="1"/>
    <col min="4" max="4" width="10" customWidth="1"/>
    <col min="5" max="6" width="12.85546875" customWidth="1"/>
    <col min="7" max="7" width="10.140625" customWidth="1"/>
    <col min="8" max="8" width="12.5703125" customWidth="1"/>
    <col min="9" max="9" width="14.7109375" customWidth="1"/>
    <col min="11" max="11" width="25.28515625" customWidth="1"/>
  </cols>
  <sheetData>
    <row r="1" spans="2:18" ht="15.75" thickBot="1" x14ac:dyDescent="0.3">
      <c r="D1" s="30"/>
      <c r="E1" s="30"/>
      <c r="F1" s="30"/>
      <c r="G1" s="30"/>
      <c r="H1" s="30"/>
      <c r="I1" s="30"/>
      <c r="J1" s="30"/>
      <c r="K1" s="30"/>
      <c r="L1" s="30"/>
    </row>
    <row r="2" spans="2:18" ht="15.75" thickBot="1" x14ac:dyDescent="0.3">
      <c r="D2" s="31" t="s">
        <v>46</v>
      </c>
      <c r="E2" s="32"/>
      <c r="F2" s="32"/>
      <c r="G2" s="32"/>
      <c r="H2" s="32"/>
      <c r="I2" s="32"/>
      <c r="J2" s="32"/>
      <c r="K2" s="32"/>
      <c r="L2" s="33"/>
    </row>
    <row r="3" spans="2:18" ht="15.75" thickBot="1" x14ac:dyDescent="0.3">
      <c r="D3" s="34" t="s">
        <v>40</v>
      </c>
      <c r="E3" s="35"/>
      <c r="F3" s="36"/>
      <c r="G3" s="34" t="s">
        <v>41</v>
      </c>
      <c r="H3" s="35"/>
      <c r="I3" s="36"/>
      <c r="J3" s="34" t="s">
        <v>42</v>
      </c>
      <c r="K3" s="35"/>
      <c r="L3" s="36"/>
    </row>
    <row r="4" spans="2:18" ht="15.75" thickBot="1" x14ac:dyDescent="0.3">
      <c r="B4" s="42"/>
      <c r="C4" s="44" t="s">
        <v>43</v>
      </c>
      <c r="D4" s="45" t="s">
        <v>44</v>
      </c>
      <c r="E4" s="46" t="s">
        <v>45</v>
      </c>
      <c r="F4" s="47" t="s">
        <v>21</v>
      </c>
      <c r="G4" s="48" t="s">
        <v>44</v>
      </c>
      <c r="H4" s="46" t="s">
        <v>45</v>
      </c>
      <c r="I4" s="47" t="s">
        <v>21</v>
      </c>
      <c r="J4" s="48" t="s">
        <v>44</v>
      </c>
      <c r="K4" s="37" t="s">
        <v>45</v>
      </c>
      <c r="L4" s="47" t="s">
        <v>21</v>
      </c>
    </row>
    <row r="5" spans="2:18" x14ac:dyDescent="0.25">
      <c r="B5" s="43"/>
      <c r="C5" s="81">
        <v>43101</v>
      </c>
      <c r="D5" s="68"/>
      <c r="E5" s="51"/>
      <c r="F5" s="63"/>
      <c r="G5" s="72"/>
      <c r="H5" s="51"/>
      <c r="I5" s="73"/>
      <c r="J5" s="68">
        <v>2000</v>
      </c>
      <c r="K5" s="88">
        <v>5</v>
      </c>
      <c r="L5" s="52">
        <f>J5*K5</f>
        <v>10000</v>
      </c>
    </row>
    <row r="6" spans="2:18" x14ac:dyDescent="0.25">
      <c r="B6" s="43"/>
      <c r="C6" s="82">
        <v>43115</v>
      </c>
      <c r="D6" s="69"/>
      <c r="E6" s="53"/>
      <c r="F6" s="64"/>
      <c r="G6" s="74">
        <v>500</v>
      </c>
      <c r="H6" s="54">
        <v>5</v>
      </c>
      <c r="I6" s="75">
        <f>G6*H6</f>
        <v>2500</v>
      </c>
      <c r="J6" s="69">
        <v>1500</v>
      </c>
      <c r="K6" s="54">
        <v>5</v>
      </c>
      <c r="L6" s="55">
        <f>J6*K6</f>
        <v>7500</v>
      </c>
      <c r="O6" s="40"/>
    </row>
    <row r="7" spans="2:18" x14ac:dyDescent="0.25">
      <c r="B7" s="43"/>
      <c r="C7" s="82">
        <v>43131</v>
      </c>
      <c r="D7" s="69"/>
      <c r="E7" s="56"/>
      <c r="F7" s="65"/>
      <c r="G7" s="74">
        <v>700</v>
      </c>
      <c r="H7" s="54">
        <v>5</v>
      </c>
      <c r="I7" s="75">
        <f t="shared" ref="I7:I16" si="0">G7*H7</f>
        <v>3500</v>
      </c>
      <c r="J7" s="69">
        <v>800</v>
      </c>
      <c r="K7" s="54">
        <v>5</v>
      </c>
      <c r="L7" s="55">
        <f t="shared" ref="L7:L16" si="1">J7*K7</f>
        <v>4000</v>
      </c>
      <c r="O7" s="41"/>
      <c r="P7" s="38"/>
      <c r="Q7" s="38"/>
      <c r="R7" s="39"/>
    </row>
    <row r="8" spans="2:18" x14ac:dyDescent="0.25">
      <c r="B8" s="43"/>
      <c r="C8" s="83">
        <v>43132</v>
      </c>
      <c r="D8" s="70">
        <v>1200</v>
      </c>
      <c r="E8" s="59">
        <v>6</v>
      </c>
      <c r="F8" s="66">
        <f t="shared" ref="F8:F16" si="2">D8*E8</f>
        <v>7200</v>
      </c>
      <c r="G8" s="76"/>
      <c r="H8" s="60"/>
      <c r="I8" s="77"/>
      <c r="J8" s="70">
        <v>2000</v>
      </c>
      <c r="K8" s="60">
        <v>5.6</v>
      </c>
      <c r="L8" s="61">
        <f t="shared" si="1"/>
        <v>11200</v>
      </c>
      <c r="N8" t="s">
        <v>47</v>
      </c>
      <c r="O8">
        <f>(4000+7200)/(800+1200)</f>
        <v>5.6</v>
      </c>
    </row>
    <row r="9" spans="2:18" x14ac:dyDescent="0.25">
      <c r="B9" s="43"/>
      <c r="C9" s="82">
        <v>43146</v>
      </c>
      <c r="D9" s="69"/>
      <c r="E9" s="53"/>
      <c r="F9" s="65"/>
      <c r="G9" s="74">
        <v>600</v>
      </c>
      <c r="H9" s="54">
        <v>5.6</v>
      </c>
      <c r="I9" s="75">
        <f t="shared" si="0"/>
        <v>3360</v>
      </c>
      <c r="J9" s="69">
        <v>1400</v>
      </c>
      <c r="K9" s="54">
        <v>5.6</v>
      </c>
      <c r="L9" s="55">
        <f t="shared" si="1"/>
        <v>7839.9999999999991</v>
      </c>
      <c r="N9" t="s">
        <v>48</v>
      </c>
      <c r="O9">
        <f>(3808+10692)/(680+1320)</f>
        <v>7.25</v>
      </c>
    </row>
    <row r="10" spans="2:18" x14ac:dyDescent="0.25">
      <c r="B10" s="43"/>
      <c r="C10" s="82">
        <v>43159</v>
      </c>
      <c r="D10" s="69"/>
      <c r="E10" s="56"/>
      <c r="F10" s="65"/>
      <c r="G10" s="74">
        <v>720</v>
      </c>
      <c r="H10" s="54">
        <v>5.6</v>
      </c>
      <c r="I10" s="75">
        <f t="shared" si="0"/>
        <v>4031.9999999999995</v>
      </c>
      <c r="J10" s="69">
        <f>1400-720</f>
        <v>680</v>
      </c>
      <c r="K10" s="54">
        <v>5.6</v>
      </c>
      <c r="L10" s="55">
        <f t="shared" si="1"/>
        <v>3807.9999999999995</v>
      </c>
      <c r="N10" t="s">
        <v>49</v>
      </c>
      <c r="O10">
        <f>(4350+9870)/(600+1400)</f>
        <v>7.11</v>
      </c>
      <c r="P10" s="38"/>
      <c r="Q10" s="38"/>
      <c r="R10" s="39"/>
    </row>
    <row r="11" spans="2:18" x14ac:dyDescent="0.25">
      <c r="C11" s="84">
        <v>43160</v>
      </c>
      <c r="D11" s="70">
        <v>1320</v>
      </c>
      <c r="E11" s="59">
        <v>8.1</v>
      </c>
      <c r="F11" s="66">
        <f t="shared" si="2"/>
        <v>10692</v>
      </c>
      <c r="G11" s="76"/>
      <c r="H11" s="59"/>
      <c r="I11" s="77"/>
      <c r="J11" s="70">
        <f>680+1320</f>
        <v>2000</v>
      </c>
      <c r="K11" s="60">
        <v>7.25</v>
      </c>
      <c r="L11" s="61">
        <f t="shared" si="1"/>
        <v>14500</v>
      </c>
    </row>
    <row r="12" spans="2:18" x14ac:dyDescent="0.25">
      <c r="C12" s="85">
        <v>43174</v>
      </c>
      <c r="D12" s="69"/>
      <c r="E12" s="53"/>
      <c r="F12" s="65"/>
      <c r="G12" s="74">
        <v>600</v>
      </c>
      <c r="H12" s="54">
        <v>7.25</v>
      </c>
      <c r="I12" s="75">
        <f t="shared" si="0"/>
        <v>4350</v>
      </c>
      <c r="J12" s="69">
        <v>1400</v>
      </c>
      <c r="K12" s="54">
        <v>7.25</v>
      </c>
      <c r="L12" s="55">
        <f t="shared" si="1"/>
        <v>10150</v>
      </c>
    </row>
    <row r="13" spans="2:18" x14ac:dyDescent="0.25">
      <c r="C13" s="85">
        <v>43190</v>
      </c>
      <c r="D13" s="69"/>
      <c r="E13" s="53"/>
      <c r="F13" s="65"/>
      <c r="G13" s="74">
        <v>800</v>
      </c>
      <c r="H13" s="54">
        <v>7.25</v>
      </c>
      <c r="I13" s="75">
        <f t="shared" si="0"/>
        <v>5800</v>
      </c>
      <c r="J13" s="69">
        <v>600</v>
      </c>
      <c r="K13" s="54">
        <v>7.25</v>
      </c>
      <c r="L13" s="55">
        <f t="shared" si="1"/>
        <v>4350</v>
      </c>
    </row>
    <row r="14" spans="2:18" x14ac:dyDescent="0.25">
      <c r="C14" s="84">
        <v>43191</v>
      </c>
      <c r="D14" s="70">
        <v>1400</v>
      </c>
      <c r="E14" s="59">
        <v>7.05</v>
      </c>
      <c r="F14" s="66">
        <f t="shared" si="2"/>
        <v>9870</v>
      </c>
      <c r="G14" s="76"/>
      <c r="H14" s="59"/>
      <c r="I14" s="77"/>
      <c r="J14" s="70">
        <v>2000</v>
      </c>
      <c r="K14" s="60">
        <v>7.11</v>
      </c>
      <c r="L14" s="61">
        <f t="shared" si="1"/>
        <v>14220</v>
      </c>
    </row>
    <row r="15" spans="2:18" x14ac:dyDescent="0.25">
      <c r="C15" s="85">
        <v>43205</v>
      </c>
      <c r="D15" s="69"/>
      <c r="E15" s="53"/>
      <c r="F15" s="65"/>
      <c r="G15" s="74">
        <v>700</v>
      </c>
      <c r="H15" s="54">
        <v>7.11</v>
      </c>
      <c r="I15" s="75">
        <f t="shared" si="0"/>
        <v>4977</v>
      </c>
      <c r="J15" s="69">
        <v>1300</v>
      </c>
      <c r="K15" s="54">
        <v>7.11</v>
      </c>
      <c r="L15" s="55">
        <f t="shared" si="1"/>
        <v>9243</v>
      </c>
    </row>
    <row r="16" spans="2:18" ht="15.75" thickBot="1" x14ac:dyDescent="0.3">
      <c r="C16" s="86">
        <v>43220</v>
      </c>
      <c r="D16" s="80"/>
      <c r="E16" s="57"/>
      <c r="F16" s="67"/>
      <c r="G16" s="78">
        <v>700</v>
      </c>
      <c r="H16" s="58">
        <v>7.11</v>
      </c>
      <c r="I16" s="79">
        <f t="shared" si="0"/>
        <v>4977</v>
      </c>
      <c r="J16" s="71">
        <v>600</v>
      </c>
      <c r="K16" s="58">
        <v>7.11</v>
      </c>
      <c r="L16" s="87">
        <f t="shared" si="1"/>
        <v>4266</v>
      </c>
    </row>
    <row r="17" spans="2:12" ht="15.75" thickBot="1" x14ac:dyDescent="0.3">
      <c r="I17" s="112">
        <f>SUM(I5:I16)</f>
        <v>33496</v>
      </c>
    </row>
    <row r="19" spans="2:12" ht="15.75" thickBot="1" x14ac:dyDescent="0.3"/>
    <row r="20" spans="2:12" ht="15.75" thickBot="1" x14ac:dyDescent="0.3">
      <c r="D20" s="31" t="s">
        <v>50</v>
      </c>
      <c r="E20" s="32"/>
      <c r="F20" s="32"/>
      <c r="G20" s="32"/>
      <c r="H20" s="32"/>
      <c r="I20" s="32"/>
      <c r="J20" s="32"/>
      <c r="K20" s="32"/>
      <c r="L20" s="33"/>
    </row>
    <row r="21" spans="2:12" ht="15.75" thickBot="1" x14ac:dyDescent="0.3">
      <c r="D21" s="34" t="s">
        <v>40</v>
      </c>
      <c r="E21" s="35"/>
      <c r="F21" s="36"/>
      <c r="G21" s="34" t="s">
        <v>41</v>
      </c>
      <c r="H21" s="35"/>
      <c r="I21" s="36"/>
      <c r="J21" s="34" t="s">
        <v>42</v>
      </c>
      <c r="K21" s="35"/>
      <c r="L21" s="36"/>
    </row>
    <row r="22" spans="2:12" ht="15.75" thickBot="1" x14ac:dyDescent="0.3">
      <c r="C22" s="44" t="s">
        <v>43</v>
      </c>
      <c r="D22" s="45" t="s">
        <v>44</v>
      </c>
      <c r="E22" s="46" t="s">
        <v>45</v>
      </c>
      <c r="F22" s="47" t="s">
        <v>21</v>
      </c>
      <c r="G22" s="48" t="s">
        <v>44</v>
      </c>
      <c r="H22" s="46" t="s">
        <v>45</v>
      </c>
      <c r="I22" s="47" t="s">
        <v>21</v>
      </c>
      <c r="J22" s="48" t="s">
        <v>44</v>
      </c>
      <c r="K22" s="37" t="s">
        <v>45</v>
      </c>
      <c r="L22" s="47" t="s">
        <v>21</v>
      </c>
    </row>
    <row r="23" spans="2:12" x14ac:dyDescent="0.25">
      <c r="B23" s="89" t="s">
        <v>54</v>
      </c>
      <c r="C23" s="81">
        <v>43101</v>
      </c>
      <c r="D23" s="72"/>
      <c r="E23" s="51"/>
      <c r="F23" s="73"/>
      <c r="G23" s="68"/>
      <c r="H23" s="51"/>
      <c r="I23" s="73"/>
      <c r="J23" s="90">
        <v>2000</v>
      </c>
      <c r="K23" s="88">
        <v>5</v>
      </c>
      <c r="L23" s="52">
        <f>J23*K23</f>
        <v>10000</v>
      </c>
    </row>
    <row r="24" spans="2:12" x14ac:dyDescent="0.25">
      <c r="C24" s="82">
        <v>43115</v>
      </c>
      <c r="D24" s="74"/>
      <c r="E24" s="53"/>
      <c r="F24" s="62"/>
      <c r="G24" s="91">
        <v>500</v>
      </c>
      <c r="H24" s="54">
        <v>5</v>
      </c>
      <c r="I24" s="75">
        <f>G24*H24</f>
        <v>2500</v>
      </c>
      <c r="J24" s="69">
        <v>1500</v>
      </c>
      <c r="K24" s="54">
        <v>5</v>
      </c>
      <c r="L24" s="55">
        <f>J24*K24</f>
        <v>7500</v>
      </c>
    </row>
    <row r="25" spans="2:12" x14ac:dyDescent="0.25">
      <c r="C25" s="82">
        <v>43131</v>
      </c>
      <c r="D25" s="74"/>
      <c r="E25" s="56"/>
      <c r="F25" s="55"/>
      <c r="G25" s="91">
        <v>700</v>
      </c>
      <c r="H25" s="54">
        <v>5</v>
      </c>
      <c r="I25" s="75">
        <f t="shared" ref="I25" si="3">G25*H25</f>
        <v>3500</v>
      </c>
      <c r="J25" s="69">
        <v>800</v>
      </c>
      <c r="K25" s="54">
        <v>5</v>
      </c>
      <c r="L25" s="55">
        <f t="shared" ref="L25:L34" si="4">J25*K25</f>
        <v>4000</v>
      </c>
    </row>
    <row r="26" spans="2:12" x14ac:dyDescent="0.25">
      <c r="B26" s="98" t="s">
        <v>51</v>
      </c>
      <c r="C26" s="82">
        <v>43132</v>
      </c>
      <c r="D26" s="95">
        <v>1200</v>
      </c>
      <c r="E26" s="53">
        <v>6</v>
      </c>
      <c r="F26" s="55">
        <f t="shared" ref="F26" si="5">D26*E26</f>
        <v>7200</v>
      </c>
      <c r="G26" s="69"/>
      <c r="H26" s="54"/>
      <c r="I26" s="75"/>
      <c r="J26" s="69">
        <v>2000</v>
      </c>
      <c r="K26" s="54" t="s">
        <v>59</v>
      </c>
      <c r="L26" s="55">
        <f>800*5 + 1200*6</f>
        <v>11200</v>
      </c>
    </row>
    <row r="27" spans="2:12" x14ac:dyDescent="0.25">
      <c r="C27" s="82">
        <v>43146</v>
      </c>
      <c r="D27" s="74"/>
      <c r="E27" s="53"/>
      <c r="F27" s="55"/>
      <c r="G27" s="91">
        <v>600</v>
      </c>
      <c r="H27" s="54">
        <v>5</v>
      </c>
      <c r="I27" s="75">
        <f t="shared" ref="I27:I28" si="6">G27*H27</f>
        <v>3000</v>
      </c>
      <c r="J27" s="69">
        <v>1400</v>
      </c>
      <c r="K27" s="54" t="s">
        <v>60</v>
      </c>
      <c r="L27" s="55">
        <f>200*5 + 1200*6</f>
        <v>8200</v>
      </c>
    </row>
    <row r="28" spans="2:12" x14ac:dyDescent="0.25">
      <c r="C28" s="82">
        <v>43159</v>
      </c>
      <c r="D28" s="104"/>
      <c r="E28" s="49"/>
      <c r="F28" s="50"/>
      <c r="G28" s="96">
        <v>200</v>
      </c>
      <c r="H28" s="105">
        <v>5</v>
      </c>
      <c r="I28" s="75">
        <f t="shared" si="6"/>
        <v>1000</v>
      </c>
      <c r="J28" s="103">
        <v>1200</v>
      </c>
      <c r="K28" s="54">
        <v>6</v>
      </c>
      <c r="L28" s="94">
        <f t="shared" si="4"/>
        <v>7200</v>
      </c>
    </row>
    <row r="29" spans="2:12" x14ac:dyDescent="0.25">
      <c r="C29" s="82">
        <v>43159</v>
      </c>
      <c r="D29" s="74"/>
      <c r="E29" s="56"/>
      <c r="F29" s="55"/>
      <c r="G29" s="100">
        <v>520</v>
      </c>
      <c r="H29" s="54">
        <v>6</v>
      </c>
      <c r="I29" s="75">
        <f>G29*H29</f>
        <v>3120</v>
      </c>
      <c r="J29" s="69">
        <f>1400-720</f>
        <v>680</v>
      </c>
      <c r="K29" s="54">
        <v>6</v>
      </c>
      <c r="L29" s="55">
        <f>J29*K29</f>
        <v>4080</v>
      </c>
    </row>
    <row r="30" spans="2:12" x14ac:dyDescent="0.25">
      <c r="B30" s="25" t="s">
        <v>52</v>
      </c>
      <c r="C30" s="82">
        <v>43160</v>
      </c>
      <c r="D30" s="106">
        <v>1320</v>
      </c>
      <c r="E30" s="53">
        <v>8.1</v>
      </c>
      <c r="F30" s="55">
        <f t="shared" ref="F30" si="7">D30*E30</f>
        <v>10692</v>
      </c>
      <c r="G30" s="69"/>
      <c r="H30" s="53"/>
      <c r="I30" s="75"/>
      <c r="J30" s="69">
        <f>680+1320</f>
        <v>2000</v>
      </c>
      <c r="K30" s="54" t="s">
        <v>55</v>
      </c>
      <c r="L30" s="55">
        <f>680*6+1320*8.1</f>
        <v>14772</v>
      </c>
    </row>
    <row r="31" spans="2:12" x14ac:dyDescent="0.25">
      <c r="C31" s="82">
        <v>43174</v>
      </c>
      <c r="D31" s="74"/>
      <c r="E31" s="53"/>
      <c r="F31" s="55"/>
      <c r="G31" s="100">
        <v>600</v>
      </c>
      <c r="H31" s="54">
        <v>6</v>
      </c>
      <c r="I31" s="75">
        <f t="shared" ref="I31:I32" si="8">G31*H31</f>
        <v>3600</v>
      </c>
      <c r="J31" s="69">
        <v>1400</v>
      </c>
      <c r="K31" s="54" t="s">
        <v>56</v>
      </c>
      <c r="L31" s="55">
        <f>80*6+1320*8.1</f>
        <v>11172</v>
      </c>
    </row>
    <row r="32" spans="2:12" x14ac:dyDescent="0.25">
      <c r="C32" s="82">
        <v>43190</v>
      </c>
      <c r="D32" s="74"/>
      <c r="E32" s="53"/>
      <c r="F32" s="55"/>
      <c r="G32" s="69">
        <v>80</v>
      </c>
      <c r="H32" s="54">
        <v>6</v>
      </c>
      <c r="I32" s="75">
        <f>G32*H32</f>
        <v>480</v>
      </c>
      <c r="J32" s="93">
        <v>1320</v>
      </c>
      <c r="K32" s="54">
        <v>8.1</v>
      </c>
      <c r="L32" s="55">
        <f>J32*K32</f>
        <v>10692</v>
      </c>
    </row>
    <row r="33" spans="2:12" x14ac:dyDescent="0.25">
      <c r="C33" s="82">
        <v>43190</v>
      </c>
      <c r="D33" s="74"/>
      <c r="E33" s="53"/>
      <c r="F33" s="55"/>
      <c r="G33" s="69">
        <v>720</v>
      </c>
      <c r="H33" s="54">
        <v>8.1</v>
      </c>
      <c r="I33" s="75">
        <f>G33*H33</f>
        <v>5832</v>
      </c>
      <c r="J33" s="69">
        <v>600</v>
      </c>
      <c r="K33" s="54">
        <v>8.1</v>
      </c>
      <c r="L33" s="55">
        <f>J33*K33</f>
        <v>4860</v>
      </c>
    </row>
    <row r="34" spans="2:12" x14ac:dyDescent="0.25">
      <c r="B34" s="97" t="s">
        <v>53</v>
      </c>
      <c r="C34" s="82">
        <v>43191</v>
      </c>
      <c r="D34" s="107">
        <v>1400</v>
      </c>
      <c r="E34" s="53">
        <v>7.05</v>
      </c>
      <c r="F34" s="55">
        <f t="shared" ref="F34" si="9">D34*E34</f>
        <v>9870</v>
      </c>
      <c r="G34" s="69"/>
      <c r="H34" s="53"/>
      <c r="I34" s="75"/>
      <c r="J34" s="69">
        <v>2000</v>
      </c>
      <c r="K34" s="54" t="s">
        <v>57</v>
      </c>
      <c r="L34" s="55">
        <f>600*8.1+1400*7.05</f>
        <v>14730</v>
      </c>
    </row>
    <row r="35" spans="2:12" x14ac:dyDescent="0.25">
      <c r="C35" s="82">
        <v>43205</v>
      </c>
      <c r="D35" s="74"/>
      <c r="E35" s="53"/>
      <c r="F35" s="55"/>
      <c r="G35" s="69">
        <v>600</v>
      </c>
      <c r="H35" s="54">
        <v>8</v>
      </c>
      <c r="I35" s="75">
        <f t="shared" ref="I35" si="10">G35*H35</f>
        <v>4800</v>
      </c>
      <c r="J35" s="108">
        <v>1400</v>
      </c>
      <c r="K35" s="54">
        <v>7.05</v>
      </c>
      <c r="L35" s="55">
        <f>J35*K35</f>
        <v>9870</v>
      </c>
    </row>
    <row r="36" spans="2:12" x14ac:dyDescent="0.25">
      <c r="C36" s="82">
        <v>43205</v>
      </c>
      <c r="D36" s="74"/>
      <c r="E36" s="53"/>
      <c r="F36" s="55"/>
      <c r="G36" s="69">
        <v>100</v>
      </c>
      <c r="H36" s="54">
        <v>7.05</v>
      </c>
      <c r="I36" s="75">
        <f t="shared" ref="I36:I37" si="11">G36*H36</f>
        <v>705</v>
      </c>
      <c r="J36" s="69">
        <v>1300</v>
      </c>
      <c r="K36" s="54">
        <v>7.05</v>
      </c>
      <c r="L36" s="55">
        <f>J36*K36</f>
        <v>9165</v>
      </c>
    </row>
    <row r="37" spans="2:12" ht="15.75" thickBot="1" x14ac:dyDescent="0.3">
      <c r="C37" s="99">
        <v>43220</v>
      </c>
      <c r="D37" s="101"/>
      <c r="E37" s="57"/>
      <c r="F37" s="102"/>
      <c r="G37" s="71">
        <v>700</v>
      </c>
      <c r="H37" s="58">
        <v>7.05</v>
      </c>
      <c r="I37" s="79">
        <f t="shared" si="11"/>
        <v>4935</v>
      </c>
      <c r="J37" s="71">
        <v>600</v>
      </c>
      <c r="K37" s="58">
        <v>7.05</v>
      </c>
      <c r="L37" s="87">
        <f>J37*K37</f>
        <v>4230</v>
      </c>
    </row>
    <row r="38" spans="2:12" ht="15.75" thickBot="1" x14ac:dyDescent="0.3">
      <c r="C38" s="30"/>
      <c r="I38" s="112">
        <f>SUM(I23:I37)</f>
        <v>33472</v>
      </c>
    </row>
    <row r="40" spans="2:12" ht="15.75" thickBot="1" x14ac:dyDescent="0.3"/>
    <row r="41" spans="2:12" ht="15.75" thickBot="1" x14ac:dyDescent="0.3">
      <c r="D41" s="31" t="s">
        <v>58</v>
      </c>
      <c r="E41" s="32"/>
      <c r="F41" s="32"/>
      <c r="G41" s="32"/>
      <c r="H41" s="32"/>
      <c r="I41" s="32"/>
      <c r="J41" s="32"/>
      <c r="K41" s="32"/>
      <c r="L41" s="33"/>
    </row>
    <row r="42" spans="2:12" ht="15.75" thickBot="1" x14ac:dyDescent="0.3">
      <c r="D42" s="34" t="s">
        <v>40</v>
      </c>
      <c r="E42" s="35"/>
      <c r="F42" s="36"/>
      <c r="G42" s="34" t="s">
        <v>41</v>
      </c>
      <c r="H42" s="35"/>
      <c r="I42" s="36"/>
      <c r="J42" s="34" t="s">
        <v>42</v>
      </c>
      <c r="K42" s="35"/>
      <c r="L42" s="36"/>
    </row>
    <row r="43" spans="2:12" ht="15.75" thickBot="1" x14ac:dyDescent="0.3">
      <c r="C43" s="44" t="s">
        <v>43</v>
      </c>
      <c r="D43" s="45" t="s">
        <v>44</v>
      </c>
      <c r="E43" s="46" t="s">
        <v>45</v>
      </c>
      <c r="F43" s="47" t="s">
        <v>21</v>
      </c>
      <c r="G43" s="48" t="s">
        <v>44</v>
      </c>
      <c r="H43" s="46" t="s">
        <v>45</v>
      </c>
      <c r="I43" s="47" t="s">
        <v>21</v>
      </c>
      <c r="J43" s="48" t="s">
        <v>44</v>
      </c>
      <c r="K43" s="37" t="s">
        <v>45</v>
      </c>
      <c r="L43" s="47" t="s">
        <v>21</v>
      </c>
    </row>
    <row r="44" spans="2:12" x14ac:dyDescent="0.25">
      <c r="B44" s="89" t="s">
        <v>54</v>
      </c>
      <c r="C44" s="81">
        <v>43101</v>
      </c>
      <c r="D44" s="72"/>
      <c r="E44" s="51"/>
      <c r="F44" s="73"/>
      <c r="G44" s="68"/>
      <c r="H44" s="51"/>
      <c r="I44" s="73"/>
      <c r="J44" s="90">
        <v>2000</v>
      </c>
      <c r="K44" s="88">
        <v>5</v>
      </c>
      <c r="L44" s="52">
        <f>J44*K44</f>
        <v>10000</v>
      </c>
    </row>
    <row r="45" spans="2:12" x14ac:dyDescent="0.25">
      <c r="C45" s="82">
        <v>43115</v>
      </c>
      <c r="D45" s="74"/>
      <c r="E45" s="53"/>
      <c r="F45" s="62"/>
      <c r="G45" s="91">
        <v>500</v>
      </c>
      <c r="H45" s="54">
        <v>5</v>
      </c>
      <c r="I45" s="75">
        <f>G45*H45</f>
        <v>2500</v>
      </c>
      <c r="J45" s="69">
        <v>1500</v>
      </c>
      <c r="K45" s="54">
        <v>5</v>
      </c>
      <c r="L45" s="55">
        <f>J45*K45</f>
        <v>7500</v>
      </c>
    </row>
    <row r="46" spans="2:12" x14ac:dyDescent="0.25">
      <c r="C46" s="82">
        <v>43131</v>
      </c>
      <c r="D46" s="74"/>
      <c r="E46" s="56"/>
      <c r="F46" s="55"/>
      <c r="G46" s="91">
        <v>700</v>
      </c>
      <c r="H46" s="54">
        <v>5</v>
      </c>
      <c r="I46" s="75">
        <f t="shared" ref="I46" si="12">G46*H46</f>
        <v>3500</v>
      </c>
      <c r="J46" s="69">
        <v>800</v>
      </c>
      <c r="K46" s="54">
        <v>5</v>
      </c>
      <c r="L46" s="55">
        <f t="shared" ref="L46:L55" si="13">J46*K46</f>
        <v>4000</v>
      </c>
    </row>
    <row r="47" spans="2:12" x14ac:dyDescent="0.25">
      <c r="B47" s="98" t="s">
        <v>51</v>
      </c>
      <c r="C47" s="82">
        <v>43132</v>
      </c>
      <c r="D47" s="95">
        <v>1200</v>
      </c>
      <c r="E47" s="53">
        <v>6</v>
      </c>
      <c r="F47" s="55">
        <f t="shared" ref="F47" si="14">D47*E47</f>
        <v>7200</v>
      </c>
      <c r="G47" s="69"/>
      <c r="H47" s="54"/>
      <c r="I47" s="75"/>
      <c r="J47" s="69">
        <v>2000</v>
      </c>
      <c r="K47" s="54" t="s">
        <v>59</v>
      </c>
      <c r="L47" s="55">
        <f>800*5 + 1200*6</f>
        <v>11200</v>
      </c>
    </row>
    <row r="48" spans="2:12" x14ac:dyDescent="0.25">
      <c r="C48" s="82">
        <v>43146</v>
      </c>
      <c r="D48" s="74"/>
      <c r="E48" s="53"/>
      <c r="F48" s="55"/>
      <c r="G48" s="100">
        <v>600</v>
      </c>
      <c r="H48" s="54">
        <v>6</v>
      </c>
      <c r="I48" s="75">
        <f t="shared" ref="I48:I49" si="15">G48*H48</f>
        <v>3600</v>
      </c>
      <c r="J48" s="69">
        <v>1400</v>
      </c>
      <c r="K48" s="54" t="s">
        <v>61</v>
      </c>
      <c r="L48" s="55">
        <f>800*5 + 600*6</f>
        <v>7600</v>
      </c>
    </row>
    <row r="49" spans="1:12" x14ac:dyDescent="0.25">
      <c r="C49" s="82">
        <v>43159</v>
      </c>
      <c r="D49" s="104"/>
      <c r="E49" s="49"/>
      <c r="F49" s="50"/>
      <c r="G49" s="103">
        <v>600</v>
      </c>
      <c r="H49" s="105">
        <v>6</v>
      </c>
      <c r="I49" s="75">
        <f t="shared" si="15"/>
        <v>3600</v>
      </c>
      <c r="J49" s="96">
        <v>800</v>
      </c>
      <c r="K49" s="54">
        <v>5</v>
      </c>
      <c r="L49" s="94">
        <f t="shared" ref="L49:L58" si="16">J49*K49</f>
        <v>4000</v>
      </c>
    </row>
    <row r="50" spans="1:12" x14ac:dyDescent="0.25">
      <c r="C50" s="82">
        <v>43159</v>
      </c>
      <c r="D50" s="74"/>
      <c r="E50" s="56"/>
      <c r="F50" s="55"/>
      <c r="G50" s="91">
        <v>120</v>
      </c>
      <c r="H50" s="54">
        <v>5</v>
      </c>
      <c r="I50" s="75">
        <f>G50*H50</f>
        <v>600</v>
      </c>
      <c r="J50" s="69">
        <f>800-120</f>
        <v>680</v>
      </c>
      <c r="K50" s="54">
        <v>5</v>
      </c>
      <c r="L50" s="55">
        <f>J50*K50</f>
        <v>3400</v>
      </c>
    </row>
    <row r="51" spans="1:12" x14ac:dyDescent="0.25">
      <c r="B51" s="25" t="s">
        <v>52</v>
      </c>
      <c r="C51" s="82">
        <v>43160</v>
      </c>
      <c r="D51" s="106">
        <v>1320</v>
      </c>
      <c r="E51" s="53">
        <v>8.1</v>
      </c>
      <c r="F51" s="55">
        <f t="shared" ref="F51" si="17">D51*E51</f>
        <v>10692</v>
      </c>
      <c r="G51" s="69"/>
      <c r="H51" s="53"/>
      <c r="I51" s="75"/>
      <c r="J51" s="69">
        <f>680+1320</f>
        <v>2000</v>
      </c>
      <c r="K51" s="54" t="s">
        <v>62</v>
      </c>
      <c r="L51" s="55">
        <f>680*5+1320*8.1</f>
        <v>14092</v>
      </c>
    </row>
    <row r="52" spans="1:12" x14ac:dyDescent="0.25">
      <c r="C52" s="82">
        <v>43174</v>
      </c>
      <c r="D52" s="74"/>
      <c r="E52" s="53"/>
      <c r="F52" s="55"/>
      <c r="G52" s="93">
        <v>600</v>
      </c>
      <c r="H52" s="54">
        <v>8.1</v>
      </c>
      <c r="I52" s="75">
        <f t="shared" ref="I52" si="18">G52*H52</f>
        <v>4860</v>
      </c>
      <c r="J52" s="69">
        <v>1400</v>
      </c>
      <c r="K52" s="54" t="s">
        <v>63</v>
      </c>
      <c r="L52" s="55">
        <f>680*5+720*8.1</f>
        <v>9232</v>
      </c>
    </row>
    <row r="53" spans="1:12" x14ac:dyDescent="0.25">
      <c r="C53" s="82">
        <v>43190</v>
      </c>
      <c r="D53" s="74"/>
      <c r="E53" s="53"/>
      <c r="F53" s="55"/>
      <c r="G53" s="93">
        <v>720</v>
      </c>
      <c r="H53" s="54">
        <v>8.1</v>
      </c>
      <c r="I53" s="75">
        <f>G53*H53</f>
        <v>5832</v>
      </c>
      <c r="J53" s="91">
        <f>1400-720</f>
        <v>680</v>
      </c>
      <c r="K53" s="54">
        <v>5</v>
      </c>
      <c r="L53" s="55">
        <f>J53*K53</f>
        <v>3400</v>
      </c>
    </row>
    <row r="54" spans="1:12" x14ac:dyDescent="0.25">
      <c r="C54" s="82">
        <v>43190</v>
      </c>
      <c r="D54" s="74"/>
      <c r="E54" s="53"/>
      <c r="F54" s="55"/>
      <c r="G54" s="92">
        <v>80</v>
      </c>
      <c r="H54" s="54">
        <v>5</v>
      </c>
      <c r="I54" s="75">
        <f>G54*H54</f>
        <v>400</v>
      </c>
      <c r="J54" s="69">
        <v>600</v>
      </c>
      <c r="K54" s="54">
        <v>5</v>
      </c>
      <c r="L54" s="55">
        <f>J54*K54</f>
        <v>3000</v>
      </c>
    </row>
    <row r="55" spans="1:12" x14ac:dyDescent="0.25">
      <c r="B55" s="97" t="s">
        <v>53</v>
      </c>
      <c r="C55" s="82">
        <v>43191</v>
      </c>
      <c r="D55" s="107">
        <v>1400</v>
      </c>
      <c r="E55" s="53">
        <v>7.05</v>
      </c>
      <c r="F55" s="55">
        <f t="shared" ref="F55" si="19">D55*E55</f>
        <v>9870</v>
      </c>
      <c r="G55" s="69"/>
      <c r="H55" s="53"/>
      <c r="I55" s="75"/>
      <c r="J55" s="69">
        <v>2000</v>
      </c>
      <c r="K55" s="54" t="s">
        <v>64</v>
      </c>
      <c r="L55" s="55">
        <f>600*5+1400*7.05</f>
        <v>12870</v>
      </c>
    </row>
    <row r="56" spans="1:12" x14ac:dyDescent="0.25">
      <c r="C56" s="82">
        <v>43205</v>
      </c>
      <c r="D56" s="74"/>
      <c r="E56" s="53"/>
      <c r="F56" s="55"/>
      <c r="G56" s="108">
        <v>700</v>
      </c>
      <c r="H56" s="54">
        <v>7.05</v>
      </c>
      <c r="I56" s="75">
        <f t="shared" ref="I56:I58" si="20">G56*H56</f>
        <v>4935</v>
      </c>
      <c r="J56" s="69">
        <v>1400</v>
      </c>
      <c r="K56" s="54">
        <v>7.05</v>
      </c>
      <c r="L56" s="55">
        <f>J56*K56</f>
        <v>9870</v>
      </c>
    </row>
    <row r="57" spans="1:12" ht="15.75" thickBot="1" x14ac:dyDescent="0.3">
      <c r="C57" s="99">
        <v>43220</v>
      </c>
      <c r="D57" s="101"/>
      <c r="E57" s="57"/>
      <c r="F57" s="102"/>
      <c r="G57" s="109">
        <v>700</v>
      </c>
      <c r="H57" s="58">
        <v>7.05</v>
      </c>
      <c r="I57" s="79">
        <f>G57*H57</f>
        <v>4935</v>
      </c>
      <c r="J57" s="111">
        <v>600</v>
      </c>
      <c r="K57" s="58">
        <v>5</v>
      </c>
      <c r="L57" s="87">
        <f>J57*K57</f>
        <v>3000</v>
      </c>
    </row>
    <row r="58" spans="1:12" ht="15.75" thickBot="1" x14ac:dyDescent="0.3">
      <c r="C58" s="110"/>
      <c r="D58" s="110"/>
      <c r="E58" s="110"/>
      <c r="F58" s="110"/>
      <c r="G58" s="110"/>
      <c r="H58" s="110"/>
      <c r="I58" s="112">
        <f>SUM(I44:I57)</f>
        <v>34762</v>
      </c>
      <c r="J58" s="110"/>
      <c r="K58" s="110"/>
      <c r="L58" s="110"/>
    </row>
    <row r="59" spans="1:12" x14ac:dyDescent="0.25">
      <c r="C59" s="110"/>
      <c r="D59" s="110"/>
      <c r="E59" s="110"/>
      <c r="F59" s="110"/>
      <c r="G59" s="110"/>
      <c r="H59" s="110"/>
      <c r="I59" s="110"/>
      <c r="J59" s="110"/>
      <c r="K59" s="110"/>
      <c r="L59" s="110"/>
    </row>
    <row r="60" spans="1:12" x14ac:dyDescent="0.25">
      <c r="A60" t="s">
        <v>68</v>
      </c>
      <c r="B60" s="2" t="s">
        <v>65</v>
      </c>
      <c r="C60" s="113">
        <f>(55000-19500)-33496</f>
        <v>2004</v>
      </c>
      <c r="D60" s="110"/>
      <c r="E60" s="110"/>
      <c r="F60" s="110"/>
      <c r="G60" s="110"/>
      <c r="H60" s="110"/>
      <c r="I60" s="110"/>
      <c r="J60" s="110"/>
      <c r="K60" s="110"/>
      <c r="L60" s="110"/>
    </row>
    <row r="61" spans="1:12" x14ac:dyDescent="0.25">
      <c r="B61" s="2" t="s">
        <v>66</v>
      </c>
      <c r="C61" s="113">
        <f>(55000-19500)-33472</f>
        <v>2028</v>
      </c>
      <c r="D61" s="110"/>
      <c r="E61" s="110"/>
      <c r="F61" s="110"/>
      <c r="G61" s="110"/>
      <c r="H61" s="110"/>
      <c r="I61" s="110"/>
      <c r="J61" s="110"/>
      <c r="K61" s="110"/>
      <c r="L61" s="110"/>
    </row>
    <row r="62" spans="1:12" x14ac:dyDescent="0.25">
      <c r="B62" s="114" t="s">
        <v>67</v>
      </c>
      <c r="C62" s="114">
        <f>(55000-19500)-34762</f>
        <v>738</v>
      </c>
    </row>
  </sheetData>
  <mergeCells count="14">
    <mergeCell ref="D41:L41"/>
    <mergeCell ref="D42:F42"/>
    <mergeCell ref="G42:I42"/>
    <mergeCell ref="J42:L42"/>
    <mergeCell ref="P10:Q10"/>
    <mergeCell ref="D20:L20"/>
    <mergeCell ref="D21:F21"/>
    <mergeCell ref="G21:I21"/>
    <mergeCell ref="J21:L21"/>
    <mergeCell ref="D2:L2"/>
    <mergeCell ref="D3:F3"/>
    <mergeCell ref="G3:I3"/>
    <mergeCell ref="J3:L3"/>
    <mergeCell ref="P7:Q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Exercice 1</vt:lpstr>
      <vt:lpstr>Exercice 2</vt:lpstr>
      <vt:lpstr>Exercice 3</vt:lpstr>
      <vt:lpstr>Exercice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2018-01-25T10:56:17Z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11f2bb14-8b49-4be7-8168-5db76bacd5c6</vt:lpwstr>
  </property>
</Properties>
</file>