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9029"/>
  <workbookPr autoCompressPictures="0" defaultThemeVersion="166925"/>
  <mc:AlternateContent xmlns:mc="http://schemas.openxmlformats.org/markup-compatibility/2006">
    <mc:Choice Requires="x15">
      <x15ac:absPath xmlns:x15ac="http://schemas.microsoft.com/office/spreadsheetml/2010/11/ac" url="C:\Nicki\mes documents\Entrepreneuriat\Site\"/>
    </mc:Choice>
  </mc:AlternateContent>
  <bookViews>
    <workbookView xWindow="0" yWindow="0" windowWidth="19200" windowHeight="6950" activeTab="2"/>
  </bookViews>
  <sheets>
    <sheet name="Produits" sheetId="3" r:id="rId1"/>
    <sheet name="Modele recette" sheetId="35" r:id="rId2"/>
    <sheet name="Synthese" sheetId="30" r:id="rId3"/>
    <sheet name="PP1 - Tarte tomates-moutarde" sheetId="24" r:id="rId4"/>
    <sheet name="PP2 - Pâtes champ-lard" sheetId="14" r:id="rId5"/>
    <sheet name="PP3 - Tortellini tomates-creme" sheetId="33" r:id="rId6"/>
    <sheet name="PP4 - Curry lentilles poulet" sheetId="28" r:id="rId7"/>
    <sheet name="PP5 - Soupe de boeuf" sheetId="21" r:id="rId8"/>
    <sheet name="PP6 - Spaghetti bolognaise" sheetId="29" r:id="rId9"/>
    <sheet name="PP7 - Blanquette veau" sheetId="13" r:id="rId10"/>
    <sheet name="PP8 - Risotto cepes" sheetId="40" r:id="rId11"/>
    <sheet name="PP9 - Rougail saucisse" sheetId="43" r:id="rId12"/>
    <sheet name="PP10 - Gnocchi à la dinde" sheetId="23" r:id="rId13"/>
    <sheet name="PP11 - Wok exotique" sheetId="31" r:id="rId14"/>
    <sheet name="PP12 - Rostbeef moutarde" sheetId="42" r:id="rId15"/>
    <sheet name="PP13 - Truite amandes" sheetId="45" r:id="rId16"/>
    <sheet name="PP14 - Blanquette poisson" sheetId="39" r:id="rId17"/>
    <sheet name="PP15 - Roti d'agneau" sheetId="32" r:id="rId18"/>
    <sheet name="PP16 - Agneau curry-citron" sheetId="44" r:id="rId19"/>
    <sheet name="PP17 Tajine poulet (marocain)" sheetId="36" r:id="rId20"/>
    <sheet name="PP18 Pintade curcuma" sheetId="38" r:id="rId21"/>
    <sheet name="DP1 - Macarons framboise" sheetId="19" r:id="rId22"/>
    <sheet name="DP2 - Crêpes" sheetId="37" r:id="rId23"/>
    <sheet name="DP3 - Gaufres" sheetId="17" r:id="rId24"/>
    <sheet name="DP3 - Kaiserschmarrn" sheetId="22" r:id="rId25"/>
    <sheet name="V1 - Brioche" sheetId="26" r:id="rId26"/>
  </sheets>
  <definedNames>
    <definedName name="_xlnm._FilterDatabase" localSheetId="0" hidden="1">Produits!$A$1:$I$365</definedName>
    <definedName name="Ingrédients_recettes">Produits!$A$2:$A$362</definedName>
    <definedName name="Tableau_produits">Produits!$A$2:$I$362</definedName>
    <definedName name="_xlnm.Print_Area" localSheetId="21">'DP1 - Macarons framboise'!$A$1:$AA$100</definedName>
    <definedName name="_xlnm.Print_Area" localSheetId="22">'DP2 - Crêpes'!$A$1:$J$84</definedName>
    <definedName name="_xlnm.Print_Area" localSheetId="23">'DP3 - Gaufres'!$A$1:$M$96</definedName>
    <definedName name="_xlnm.Print_Area" localSheetId="24">'DP3 - Kaiserschmarrn'!$A$1:$K$108</definedName>
    <definedName name="_xlnm.Print_Area" localSheetId="1">'Modele recette'!$A$1:$J$90</definedName>
    <definedName name="_xlnm.Print_Area" localSheetId="3">'PP1 - Tarte tomates-moutarde'!$A$1:$J$91</definedName>
    <definedName name="_xlnm.Print_Area" localSheetId="12">'PP10 - Gnocchi à la dinde'!$A$1:$K$99</definedName>
    <definedName name="_xlnm.Print_Area" localSheetId="13">'PP11 - Wok exotique'!$A$1:$J$89</definedName>
    <definedName name="_xlnm.Print_Area" localSheetId="14">'PP12 - Rostbeef moutarde'!$A$1:$J$88</definedName>
    <definedName name="_xlnm.Print_Area" localSheetId="15">'PP13 - Truite amandes'!$A$1:$J$99</definedName>
    <definedName name="_xlnm.Print_Area" localSheetId="16">'PP14 - Blanquette poisson'!$A$1:$J$92</definedName>
    <definedName name="_xlnm.Print_Area" localSheetId="18">'PP16 - Agneau curry-citron'!$A$1:$J$91</definedName>
    <definedName name="_xlnm.Print_Area" localSheetId="19">'PP17 Tajine poulet (marocain)'!$A$1:$J$100</definedName>
    <definedName name="_xlnm.Print_Area" localSheetId="20">'PP18 Pintade curcuma'!$A$1:$J$95</definedName>
    <definedName name="_xlnm.Print_Area" localSheetId="4">'PP2 - Pâtes champ-lard'!$A$1:$K$103</definedName>
    <definedName name="_xlnm.Print_Area" localSheetId="6">'PP4 - Curry lentilles poulet'!$A$1:$J$103</definedName>
    <definedName name="_xlnm.Print_Area" localSheetId="7">'PP5 - Soupe de boeuf'!$A$1:$K$112</definedName>
    <definedName name="_xlnm.Print_Area" localSheetId="8">'PP6 - Spaghetti bolognaise'!$A$1:$J$98</definedName>
    <definedName name="_xlnm.Print_Area" localSheetId="9">'PP7 - Blanquette veau'!$A$1:$L$108</definedName>
    <definedName name="_xlnm.Print_Area" localSheetId="10">'PP8 - Risotto cepes'!$A$1:$J$92</definedName>
    <definedName name="_xlnm.Print_Area" localSheetId="11">'PP9 - Rougail saucisse'!$A$1:$J$92</definedName>
    <definedName name="_xlnm.Print_Area" localSheetId="2">Synthese!$B$1:$K$43</definedName>
    <definedName name="_xlnm.Print_Area" localSheetId="25">'V1 - Brioche'!$A$1:$G$90</definedName>
  </definedNames>
  <calcPr calcId="162913" concurrentCalc="0"/>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C26" i="30" l="1"/>
  <c r="B11" i="21"/>
  <c r="A2" i="3"/>
  <c r="A3" i="3"/>
  <c r="A4" i="3"/>
  <c r="A5" i="3"/>
  <c r="F2" i="3"/>
  <c r="F3" i="3"/>
  <c r="F4" i="3"/>
  <c r="F5" i="3"/>
  <c r="A6" i="3"/>
  <c r="F6" i="3"/>
  <c r="A7" i="3"/>
  <c r="F7" i="3"/>
  <c r="A8" i="3"/>
  <c r="F8" i="3"/>
  <c r="A9" i="3"/>
  <c r="F9" i="3"/>
  <c r="A10" i="3"/>
  <c r="F10" i="3"/>
  <c r="A11" i="3"/>
  <c r="F11" i="3"/>
  <c r="A12" i="3"/>
  <c r="F12" i="3"/>
  <c r="A13" i="3"/>
  <c r="F13" i="3"/>
  <c r="A14" i="3"/>
  <c r="F14" i="3"/>
  <c r="A15" i="3"/>
  <c r="F15" i="3"/>
  <c r="A16" i="3"/>
  <c r="F16" i="3"/>
  <c r="A17" i="3"/>
  <c r="F17" i="3"/>
  <c r="A18" i="3"/>
  <c r="F18" i="3"/>
  <c r="A19" i="3"/>
  <c r="F19" i="3"/>
  <c r="A20" i="3"/>
  <c r="F20" i="3"/>
  <c r="A21" i="3"/>
  <c r="F21" i="3"/>
  <c r="A22" i="3"/>
  <c r="F22" i="3"/>
  <c r="A23" i="3"/>
  <c r="F23" i="3"/>
  <c r="A24" i="3"/>
  <c r="F24" i="3"/>
  <c r="A25" i="3"/>
  <c r="F25" i="3"/>
  <c r="A26" i="3"/>
  <c r="F26" i="3"/>
  <c r="A27" i="3"/>
  <c r="F27" i="3"/>
  <c r="A28" i="3"/>
  <c r="F28" i="3"/>
  <c r="A29" i="3"/>
  <c r="F29" i="3"/>
  <c r="A30" i="3"/>
  <c r="F30" i="3"/>
  <c r="A31" i="3"/>
  <c r="F31" i="3"/>
  <c r="A32" i="3"/>
  <c r="F32" i="3"/>
  <c r="A33" i="3"/>
  <c r="F33" i="3"/>
  <c r="A34" i="3"/>
  <c r="F34" i="3"/>
  <c r="A35" i="3"/>
  <c r="F35" i="3"/>
  <c r="A36" i="3"/>
  <c r="F36" i="3"/>
  <c r="A37" i="3"/>
  <c r="F37" i="3"/>
  <c r="A38" i="3"/>
  <c r="F38" i="3"/>
  <c r="A39" i="3"/>
  <c r="F39" i="3"/>
  <c r="A40" i="3"/>
  <c r="F40" i="3"/>
  <c r="A41" i="3"/>
  <c r="F41" i="3"/>
  <c r="A42" i="3"/>
  <c r="F42" i="3"/>
  <c r="A43" i="3"/>
  <c r="F43" i="3"/>
  <c r="A44" i="3"/>
  <c r="F44" i="3"/>
  <c r="A45" i="3"/>
  <c r="F45" i="3"/>
  <c r="A46" i="3"/>
  <c r="F46" i="3"/>
  <c r="A47" i="3"/>
  <c r="F47" i="3"/>
  <c r="A48" i="3"/>
  <c r="F48" i="3"/>
  <c r="A49" i="3"/>
  <c r="F49" i="3"/>
  <c r="A50" i="3"/>
  <c r="F50" i="3"/>
  <c r="A51" i="3"/>
  <c r="F51" i="3"/>
  <c r="A52" i="3"/>
  <c r="F52" i="3"/>
  <c r="A53" i="3"/>
  <c r="F53" i="3"/>
  <c r="A54" i="3"/>
  <c r="F54" i="3"/>
  <c r="A55" i="3"/>
  <c r="F55" i="3"/>
  <c r="A56" i="3"/>
  <c r="F56" i="3"/>
  <c r="A57" i="3"/>
  <c r="F57" i="3"/>
  <c r="A58" i="3"/>
  <c r="F58" i="3"/>
  <c r="A59" i="3"/>
  <c r="F59" i="3"/>
  <c r="A60" i="3"/>
  <c r="F60" i="3"/>
  <c r="A61" i="3"/>
  <c r="F61" i="3"/>
  <c r="A62" i="3"/>
  <c r="F62" i="3"/>
  <c r="A63" i="3"/>
  <c r="F63" i="3"/>
  <c r="A64" i="3"/>
  <c r="F64" i="3"/>
  <c r="A65" i="3"/>
  <c r="F65" i="3"/>
  <c r="A66" i="3"/>
  <c r="F66" i="3"/>
  <c r="A67" i="3"/>
  <c r="F67" i="3"/>
  <c r="A68" i="3"/>
  <c r="F68" i="3"/>
  <c r="A69" i="3"/>
  <c r="F69" i="3"/>
  <c r="A70" i="3"/>
  <c r="F70" i="3"/>
  <c r="A71" i="3"/>
  <c r="F71" i="3"/>
  <c r="A72" i="3"/>
  <c r="F72" i="3"/>
  <c r="A73" i="3"/>
  <c r="F73" i="3"/>
  <c r="A74" i="3"/>
  <c r="F74" i="3"/>
  <c r="A75" i="3"/>
  <c r="F75" i="3"/>
  <c r="A76" i="3"/>
  <c r="F76" i="3"/>
  <c r="A77" i="3"/>
  <c r="F77" i="3"/>
  <c r="A78" i="3"/>
  <c r="F78" i="3"/>
  <c r="A79" i="3"/>
  <c r="F79" i="3"/>
  <c r="A80" i="3"/>
  <c r="F80" i="3"/>
  <c r="A81" i="3"/>
  <c r="F81" i="3"/>
  <c r="A82" i="3"/>
  <c r="F82" i="3"/>
  <c r="A83" i="3"/>
  <c r="F83" i="3"/>
  <c r="A84" i="3"/>
  <c r="F84" i="3"/>
  <c r="A85" i="3"/>
  <c r="F85" i="3"/>
  <c r="A86" i="3"/>
  <c r="F86" i="3"/>
  <c r="A87" i="3"/>
  <c r="F87" i="3"/>
  <c r="A88" i="3"/>
  <c r="F88" i="3"/>
  <c r="A89" i="3"/>
  <c r="F89" i="3"/>
  <c r="A90" i="3"/>
  <c r="F90" i="3"/>
  <c r="A91" i="3"/>
  <c r="F91" i="3"/>
  <c r="A92" i="3"/>
  <c r="F92" i="3"/>
  <c r="A93" i="3"/>
  <c r="F93" i="3"/>
  <c r="A94" i="3"/>
  <c r="F94" i="3"/>
  <c r="A95" i="3"/>
  <c r="F95" i="3"/>
  <c r="A96" i="3"/>
  <c r="F96" i="3"/>
  <c r="A97" i="3"/>
  <c r="F97" i="3"/>
  <c r="A98" i="3"/>
  <c r="F98" i="3"/>
  <c r="A99" i="3"/>
  <c r="F99" i="3"/>
  <c r="A100" i="3"/>
  <c r="F100" i="3"/>
  <c r="A101" i="3"/>
  <c r="F101" i="3"/>
  <c r="A102" i="3"/>
  <c r="F102" i="3"/>
  <c r="A103" i="3"/>
  <c r="F103" i="3"/>
  <c r="A104" i="3"/>
  <c r="F104" i="3"/>
  <c r="A105" i="3"/>
  <c r="F105" i="3"/>
  <c r="A106" i="3"/>
  <c r="F106" i="3"/>
  <c r="A107" i="3"/>
  <c r="F107" i="3"/>
  <c r="A108" i="3"/>
  <c r="F108" i="3"/>
  <c r="A109" i="3"/>
  <c r="F109" i="3"/>
  <c r="A110" i="3"/>
  <c r="F110" i="3"/>
  <c r="A111" i="3"/>
  <c r="F111" i="3"/>
  <c r="A112" i="3"/>
  <c r="F112" i="3"/>
  <c r="A113" i="3"/>
  <c r="F113" i="3"/>
  <c r="A114" i="3"/>
  <c r="F114" i="3"/>
  <c r="A115" i="3"/>
  <c r="F115" i="3"/>
  <c r="A116" i="3"/>
  <c r="F116" i="3"/>
  <c r="A117" i="3"/>
  <c r="F117" i="3"/>
  <c r="A118" i="3"/>
  <c r="F118" i="3"/>
  <c r="A119" i="3"/>
  <c r="F119" i="3"/>
  <c r="A120" i="3"/>
  <c r="F120" i="3"/>
  <c r="A121" i="3"/>
  <c r="F121" i="3"/>
  <c r="A122" i="3"/>
  <c r="F122" i="3"/>
  <c r="A123" i="3"/>
  <c r="F123" i="3"/>
  <c r="A124" i="3"/>
  <c r="F124" i="3"/>
  <c r="A125" i="3"/>
  <c r="F125" i="3"/>
  <c r="A126" i="3"/>
  <c r="F126" i="3"/>
  <c r="A127" i="3"/>
  <c r="F127" i="3"/>
  <c r="A128" i="3"/>
  <c r="F128" i="3"/>
  <c r="A129" i="3"/>
  <c r="F129" i="3"/>
  <c r="A130" i="3"/>
  <c r="F130" i="3"/>
  <c r="A131" i="3"/>
  <c r="F131" i="3"/>
  <c r="A132" i="3"/>
  <c r="F132" i="3"/>
  <c r="A133" i="3"/>
  <c r="F133" i="3"/>
  <c r="A134" i="3"/>
  <c r="F134" i="3"/>
  <c r="A135" i="3"/>
  <c r="F135" i="3"/>
  <c r="A136" i="3"/>
  <c r="F136" i="3"/>
  <c r="A137" i="3"/>
  <c r="F137" i="3"/>
  <c r="A138" i="3"/>
  <c r="F138" i="3"/>
  <c r="A139" i="3"/>
  <c r="F139" i="3"/>
  <c r="A140" i="3"/>
  <c r="F140" i="3"/>
  <c r="A141" i="3"/>
  <c r="F141" i="3"/>
  <c r="A142" i="3"/>
  <c r="F142" i="3"/>
  <c r="A143" i="3"/>
  <c r="F143" i="3"/>
  <c r="A144" i="3"/>
  <c r="F144" i="3"/>
  <c r="A145" i="3"/>
  <c r="F145" i="3"/>
  <c r="A146" i="3"/>
  <c r="F146" i="3"/>
  <c r="A147" i="3"/>
  <c r="F147" i="3"/>
  <c r="A148" i="3"/>
  <c r="F148" i="3"/>
  <c r="A149" i="3"/>
  <c r="F149" i="3"/>
  <c r="A150" i="3"/>
  <c r="F150" i="3"/>
  <c r="A151" i="3"/>
  <c r="F151" i="3"/>
  <c r="A152" i="3"/>
  <c r="F152" i="3"/>
  <c r="A153" i="3"/>
  <c r="F153" i="3"/>
  <c r="A154" i="3"/>
  <c r="F154" i="3"/>
  <c r="A155" i="3"/>
  <c r="F155" i="3"/>
  <c r="A156" i="3"/>
  <c r="F156" i="3"/>
  <c r="A157" i="3"/>
  <c r="F157" i="3"/>
  <c r="A158" i="3"/>
  <c r="F158" i="3"/>
  <c r="A159" i="3"/>
  <c r="F159" i="3"/>
  <c r="A160" i="3"/>
  <c r="F160" i="3"/>
  <c r="A161" i="3"/>
  <c r="F161" i="3"/>
  <c r="A162" i="3"/>
  <c r="F162" i="3"/>
  <c r="A163" i="3"/>
  <c r="F163" i="3"/>
  <c r="A164" i="3"/>
  <c r="F164" i="3"/>
  <c r="A165" i="3"/>
  <c r="F165" i="3"/>
  <c r="A166" i="3"/>
  <c r="F166" i="3"/>
  <c r="A167" i="3"/>
  <c r="F167" i="3"/>
  <c r="A168" i="3"/>
  <c r="F168" i="3"/>
  <c r="A169" i="3"/>
  <c r="F169" i="3"/>
  <c r="A170" i="3"/>
  <c r="F170" i="3"/>
  <c r="A171" i="3"/>
  <c r="F171" i="3"/>
  <c r="A172" i="3"/>
  <c r="F172" i="3"/>
  <c r="A173" i="3"/>
  <c r="F173" i="3"/>
  <c r="A174" i="3"/>
  <c r="F174" i="3"/>
  <c r="A175" i="3"/>
  <c r="F175" i="3"/>
  <c r="A176" i="3"/>
  <c r="F176" i="3"/>
  <c r="A177" i="3"/>
  <c r="F177" i="3"/>
  <c r="A178" i="3"/>
  <c r="F178" i="3"/>
  <c r="A179" i="3"/>
  <c r="F179" i="3"/>
  <c r="A180" i="3"/>
  <c r="F180" i="3"/>
  <c r="A181" i="3"/>
  <c r="F181" i="3"/>
  <c r="A182" i="3"/>
  <c r="F182" i="3"/>
  <c r="A183" i="3"/>
  <c r="F183" i="3"/>
  <c r="A184" i="3"/>
  <c r="F184" i="3"/>
  <c r="A185" i="3"/>
  <c r="F185" i="3"/>
  <c r="A186" i="3"/>
  <c r="F186" i="3"/>
  <c r="A187" i="3"/>
  <c r="F187" i="3"/>
  <c r="A188" i="3"/>
  <c r="F188" i="3"/>
  <c r="A189" i="3"/>
  <c r="F189" i="3"/>
  <c r="A190" i="3"/>
  <c r="F190" i="3"/>
  <c r="A191" i="3"/>
  <c r="F191" i="3"/>
  <c r="A192" i="3"/>
  <c r="F192" i="3"/>
  <c r="A193" i="3"/>
  <c r="F193" i="3"/>
  <c r="A194" i="3"/>
  <c r="F194" i="3"/>
  <c r="A195" i="3"/>
  <c r="F195" i="3"/>
  <c r="A196" i="3"/>
  <c r="F196" i="3"/>
  <c r="A197" i="3"/>
  <c r="F197" i="3"/>
  <c r="A198" i="3"/>
  <c r="F198" i="3"/>
  <c r="A199" i="3"/>
  <c r="F199" i="3"/>
  <c r="A200" i="3"/>
  <c r="F200" i="3"/>
  <c r="A201" i="3"/>
  <c r="F201" i="3"/>
  <c r="A202" i="3"/>
  <c r="F202" i="3"/>
  <c r="A203" i="3"/>
  <c r="F203" i="3"/>
  <c r="A204" i="3"/>
  <c r="F204" i="3"/>
  <c r="A205" i="3"/>
  <c r="F205" i="3"/>
  <c r="A206" i="3"/>
  <c r="F206" i="3"/>
  <c r="A207" i="3"/>
  <c r="F207" i="3"/>
  <c r="A208" i="3"/>
  <c r="F208" i="3"/>
  <c r="A209" i="3"/>
  <c r="F209" i="3"/>
  <c r="A210" i="3"/>
  <c r="F210" i="3"/>
  <c r="A211" i="3"/>
  <c r="F211" i="3"/>
  <c r="A212" i="3"/>
  <c r="F212" i="3"/>
  <c r="A213" i="3"/>
  <c r="F213" i="3"/>
  <c r="A214" i="3"/>
  <c r="F214" i="3"/>
  <c r="A215" i="3"/>
  <c r="F215" i="3"/>
  <c r="A216" i="3"/>
  <c r="F216" i="3"/>
  <c r="A217" i="3"/>
  <c r="F217" i="3"/>
  <c r="A218" i="3"/>
  <c r="F218" i="3"/>
  <c r="A219" i="3"/>
  <c r="F219" i="3"/>
  <c r="A220" i="3"/>
  <c r="F220" i="3"/>
  <c r="A221" i="3"/>
  <c r="F221" i="3"/>
  <c r="A222" i="3"/>
  <c r="F222" i="3"/>
  <c r="A223" i="3"/>
  <c r="F223" i="3"/>
  <c r="A224" i="3"/>
  <c r="F224" i="3"/>
  <c r="A225" i="3"/>
  <c r="F225" i="3"/>
  <c r="A226" i="3"/>
  <c r="F226" i="3"/>
  <c r="A227" i="3"/>
  <c r="F227" i="3"/>
  <c r="A228" i="3"/>
  <c r="F228" i="3"/>
  <c r="A229" i="3"/>
  <c r="F229" i="3"/>
  <c r="A230" i="3"/>
  <c r="F230" i="3"/>
  <c r="A231" i="3"/>
  <c r="F231" i="3"/>
  <c r="A232" i="3"/>
  <c r="F232" i="3"/>
  <c r="A233" i="3"/>
  <c r="F233" i="3"/>
  <c r="A234" i="3"/>
  <c r="F234" i="3"/>
  <c r="A235" i="3"/>
  <c r="F235" i="3"/>
  <c r="A236" i="3"/>
  <c r="F236" i="3"/>
  <c r="A237" i="3"/>
  <c r="F237" i="3"/>
  <c r="A238" i="3"/>
  <c r="F238" i="3"/>
  <c r="A239" i="3"/>
  <c r="F239" i="3"/>
  <c r="A240" i="3"/>
  <c r="F240" i="3"/>
  <c r="A241" i="3"/>
  <c r="F241" i="3"/>
  <c r="A242" i="3"/>
  <c r="F242" i="3"/>
  <c r="A243" i="3"/>
  <c r="F243" i="3"/>
  <c r="A244" i="3"/>
  <c r="F244" i="3"/>
  <c r="A245" i="3"/>
  <c r="F245" i="3"/>
  <c r="A246" i="3"/>
  <c r="F246" i="3"/>
  <c r="A247" i="3"/>
  <c r="F247" i="3"/>
  <c r="A248" i="3"/>
  <c r="F248" i="3"/>
  <c r="A249" i="3"/>
  <c r="F249" i="3"/>
  <c r="A250" i="3"/>
  <c r="F250" i="3"/>
  <c r="A251" i="3"/>
  <c r="F251" i="3"/>
  <c r="A252" i="3"/>
  <c r="F252" i="3"/>
  <c r="A253" i="3"/>
  <c r="F253" i="3"/>
  <c r="A254" i="3"/>
  <c r="F254" i="3"/>
  <c r="A255" i="3"/>
  <c r="F255" i="3"/>
  <c r="A256" i="3"/>
  <c r="F256" i="3"/>
  <c r="A257" i="3"/>
  <c r="F257" i="3"/>
  <c r="A258" i="3"/>
  <c r="F258" i="3"/>
  <c r="A259" i="3"/>
  <c r="F259" i="3"/>
  <c r="A260" i="3"/>
  <c r="F260" i="3"/>
  <c r="A261" i="3"/>
  <c r="F261" i="3"/>
  <c r="A262" i="3"/>
  <c r="F262" i="3"/>
  <c r="A263" i="3"/>
  <c r="F263" i="3"/>
  <c r="A264" i="3"/>
  <c r="F264" i="3"/>
  <c r="A265" i="3"/>
  <c r="F265" i="3"/>
  <c r="A266" i="3"/>
  <c r="F266" i="3"/>
  <c r="A267" i="3"/>
  <c r="F267" i="3"/>
  <c r="A268" i="3"/>
  <c r="F268" i="3"/>
  <c r="A269" i="3"/>
  <c r="F269" i="3"/>
  <c r="A270" i="3"/>
  <c r="F270" i="3"/>
  <c r="A271" i="3"/>
  <c r="F271" i="3"/>
  <c r="A272" i="3"/>
  <c r="F272" i="3"/>
  <c r="A273" i="3"/>
  <c r="F273" i="3"/>
  <c r="A274" i="3"/>
  <c r="F274" i="3"/>
  <c r="A275" i="3"/>
  <c r="F275" i="3"/>
  <c r="A276" i="3"/>
  <c r="F276" i="3"/>
  <c r="A277" i="3"/>
  <c r="F277" i="3"/>
  <c r="A278" i="3"/>
  <c r="F278" i="3"/>
  <c r="A279" i="3"/>
  <c r="F279" i="3"/>
  <c r="A280" i="3"/>
  <c r="F280" i="3"/>
  <c r="A281" i="3"/>
  <c r="F281" i="3"/>
  <c r="A282" i="3"/>
  <c r="F282" i="3"/>
  <c r="A283" i="3"/>
  <c r="F283" i="3"/>
  <c r="A284" i="3"/>
  <c r="F284" i="3"/>
  <c r="A285" i="3"/>
  <c r="F285" i="3"/>
  <c r="A286" i="3"/>
  <c r="F286" i="3"/>
  <c r="A287" i="3"/>
  <c r="F287" i="3"/>
  <c r="A288" i="3"/>
  <c r="F288" i="3"/>
  <c r="A289" i="3"/>
  <c r="F289" i="3"/>
  <c r="A290" i="3"/>
  <c r="F290" i="3"/>
  <c r="A291" i="3"/>
  <c r="F291" i="3"/>
  <c r="A292" i="3"/>
  <c r="F292" i="3"/>
  <c r="A293" i="3"/>
  <c r="F293" i="3"/>
  <c r="A294" i="3"/>
  <c r="F294" i="3"/>
  <c r="A295" i="3"/>
  <c r="F295" i="3"/>
  <c r="A296" i="3"/>
  <c r="F296" i="3"/>
  <c r="A297" i="3"/>
  <c r="F297" i="3"/>
  <c r="A298" i="3"/>
  <c r="F298" i="3"/>
  <c r="A299" i="3"/>
  <c r="F299" i="3"/>
  <c r="A300" i="3"/>
  <c r="F300" i="3"/>
  <c r="A301" i="3"/>
  <c r="F301" i="3"/>
  <c r="A302" i="3"/>
  <c r="F302" i="3"/>
  <c r="A303" i="3"/>
  <c r="F303" i="3"/>
  <c r="A304" i="3"/>
  <c r="F304" i="3"/>
  <c r="A305" i="3"/>
  <c r="F305" i="3"/>
  <c r="A306" i="3"/>
  <c r="F306" i="3"/>
  <c r="A307" i="3"/>
  <c r="F307" i="3"/>
  <c r="A308" i="3"/>
  <c r="F308" i="3"/>
  <c r="A309" i="3"/>
  <c r="F309" i="3"/>
  <c r="A310" i="3"/>
  <c r="F310" i="3"/>
  <c r="A311" i="3"/>
  <c r="F311" i="3"/>
  <c r="A312" i="3"/>
  <c r="F312" i="3"/>
  <c r="A313" i="3"/>
  <c r="F313" i="3"/>
  <c r="A314" i="3"/>
  <c r="F314" i="3"/>
  <c r="A315" i="3"/>
  <c r="F315" i="3"/>
  <c r="A316" i="3"/>
  <c r="F316" i="3"/>
  <c r="A317" i="3"/>
  <c r="F317" i="3"/>
  <c r="A318" i="3"/>
  <c r="F318" i="3"/>
  <c r="A319" i="3"/>
  <c r="F319" i="3"/>
  <c r="A320" i="3"/>
  <c r="F320" i="3"/>
  <c r="A321" i="3"/>
  <c r="F321" i="3"/>
  <c r="A322" i="3"/>
  <c r="F322" i="3"/>
  <c r="A323" i="3"/>
  <c r="F323" i="3"/>
  <c r="A324" i="3"/>
  <c r="F324" i="3"/>
  <c r="A325" i="3"/>
  <c r="F325" i="3"/>
  <c r="A326" i="3"/>
  <c r="F326" i="3"/>
  <c r="A327" i="3"/>
  <c r="F327" i="3"/>
  <c r="A328" i="3"/>
  <c r="F328" i="3"/>
  <c r="A329" i="3"/>
  <c r="F329" i="3"/>
  <c r="A330" i="3"/>
  <c r="F330" i="3"/>
  <c r="A331" i="3"/>
  <c r="F331" i="3"/>
  <c r="A332" i="3"/>
  <c r="F332" i="3"/>
  <c r="A333" i="3"/>
  <c r="F333" i="3"/>
  <c r="A334" i="3"/>
  <c r="F334" i="3"/>
  <c r="A335" i="3"/>
  <c r="F335" i="3"/>
  <c r="A336" i="3"/>
  <c r="F336" i="3"/>
  <c r="A337" i="3"/>
  <c r="F337" i="3"/>
  <c r="A338" i="3"/>
  <c r="F338" i="3"/>
  <c r="A339" i="3"/>
  <c r="F339" i="3"/>
  <c r="A340" i="3"/>
  <c r="F340" i="3"/>
  <c r="A341" i="3"/>
  <c r="F341" i="3"/>
  <c r="A342" i="3"/>
  <c r="F342" i="3"/>
  <c r="A343" i="3"/>
  <c r="F343" i="3"/>
  <c r="A344" i="3"/>
  <c r="F344" i="3"/>
  <c r="A345" i="3"/>
  <c r="F345" i="3"/>
  <c r="A346" i="3"/>
  <c r="F346" i="3"/>
  <c r="A347" i="3"/>
  <c r="F347" i="3"/>
  <c r="A348" i="3"/>
  <c r="F348" i="3"/>
  <c r="A349" i="3"/>
  <c r="F349" i="3"/>
  <c r="A350" i="3"/>
  <c r="F350" i="3"/>
  <c r="A351" i="3"/>
  <c r="F351" i="3"/>
  <c r="A352" i="3"/>
  <c r="F352" i="3"/>
  <c r="A353" i="3"/>
  <c r="F353" i="3"/>
  <c r="A354" i="3"/>
  <c r="F354" i="3"/>
  <c r="A355" i="3"/>
  <c r="F355" i="3"/>
  <c r="A356" i="3"/>
  <c r="F356" i="3"/>
  <c r="A357" i="3"/>
  <c r="F357" i="3"/>
  <c r="A358" i="3"/>
  <c r="F358" i="3"/>
  <c r="A359" i="3"/>
  <c r="F359" i="3"/>
  <c r="A360" i="3"/>
  <c r="F360" i="3"/>
  <c r="A361" i="3"/>
  <c r="F361" i="3"/>
  <c r="A362" i="3"/>
  <c r="F362" i="3"/>
  <c r="C6" i="28"/>
  <c r="D6" i="28"/>
  <c r="C7" i="28"/>
  <c r="D7" i="28"/>
  <c r="C8" i="28"/>
  <c r="D8" i="28"/>
  <c r="C9" i="28"/>
  <c r="D9" i="28"/>
  <c r="C10" i="28"/>
  <c r="D10" i="28"/>
  <c r="C11" i="28"/>
  <c r="D11" i="28"/>
  <c r="C12" i="28"/>
  <c r="D12" i="28"/>
  <c r="C13" i="28"/>
  <c r="D13" i="28"/>
  <c r="C14" i="28"/>
  <c r="D14" i="28"/>
  <c r="C15" i="28"/>
  <c r="D15" i="28"/>
  <c r="C16" i="28"/>
  <c r="D16" i="28"/>
  <c r="D17" i="28"/>
  <c r="D18" i="28"/>
  <c r="C26" i="28"/>
  <c r="C27" i="28"/>
  <c r="D27" i="28"/>
  <c r="E10" i="3"/>
  <c r="E40" i="3"/>
  <c r="E47" i="3"/>
  <c r="E53" i="3"/>
  <c r="E54" i="3"/>
  <c r="E56" i="3"/>
  <c r="E66" i="3"/>
  <c r="E84" i="3"/>
  <c r="E90" i="3"/>
  <c r="E129" i="3"/>
  <c r="E163" i="3"/>
  <c r="E178" i="3"/>
  <c r="E179" i="3"/>
  <c r="E180" i="3"/>
  <c r="E181" i="3"/>
  <c r="C6" i="19"/>
  <c r="D6" i="19"/>
  <c r="C7" i="19"/>
  <c r="D7" i="19"/>
  <c r="C8" i="19"/>
  <c r="D8" i="19"/>
  <c r="C9" i="19"/>
  <c r="D9" i="19"/>
  <c r="C10" i="19"/>
  <c r="D10" i="19"/>
  <c r="C11" i="19"/>
  <c r="D11" i="19"/>
  <c r="C12" i="19"/>
  <c r="D12" i="19"/>
  <c r="D13" i="19"/>
  <c r="D14" i="19"/>
  <c r="C22" i="19"/>
  <c r="C6" i="26"/>
  <c r="D6" i="26"/>
  <c r="C7" i="26"/>
  <c r="D7" i="26"/>
  <c r="C8" i="26"/>
  <c r="D8" i="26"/>
  <c r="C9" i="26"/>
  <c r="D9" i="26"/>
  <c r="C10" i="26"/>
  <c r="D10" i="26"/>
  <c r="C11" i="26"/>
  <c r="D11" i="26"/>
  <c r="D12" i="26"/>
  <c r="D13" i="26"/>
  <c r="C21" i="26"/>
  <c r="D21" i="26"/>
  <c r="D23" i="26"/>
  <c r="C23" i="26"/>
  <c r="C6" i="45"/>
  <c r="D6" i="45"/>
  <c r="C7" i="45"/>
  <c r="D7" i="45"/>
  <c r="C8" i="45"/>
  <c r="D8" i="45"/>
  <c r="C9" i="45"/>
  <c r="D9" i="45"/>
  <c r="C10" i="45"/>
  <c r="D10" i="45"/>
  <c r="C11" i="45"/>
  <c r="D11" i="45"/>
  <c r="C12" i="45"/>
  <c r="D12" i="45"/>
  <c r="C13" i="45"/>
  <c r="D13" i="45"/>
  <c r="C14" i="45"/>
  <c r="D14" i="45"/>
  <c r="C15" i="45"/>
  <c r="D15" i="45"/>
  <c r="C16" i="45"/>
  <c r="D16" i="45"/>
  <c r="C17" i="45"/>
  <c r="D17" i="45"/>
  <c r="C18" i="45"/>
  <c r="D18" i="45"/>
  <c r="C19" i="45"/>
  <c r="D19" i="45"/>
  <c r="C20" i="45"/>
  <c r="D20" i="45"/>
  <c r="C21" i="45"/>
  <c r="D21" i="45"/>
  <c r="C22" i="45"/>
  <c r="D22" i="45"/>
  <c r="C23" i="45"/>
  <c r="D23" i="45"/>
  <c r="C24" i="45"/>
  <c r="D24" i="45"/>
  <c r="D25" i="45"/>
  <c r="D26" i="45"/>
  <c r="C34" i="45"/>
  <c r="D34" i="45"/>
  <c r="B84" i="45"/>
  <c r="J56" i="45"/>
  <c r="J57" i="45"/>
  <c r="B85" i="45"/>
  <c r="F60" i="45"/>
  <c r="F61" i="45"/>
  <c r="B86" i="45"/>
  <c r="B87" i="45"/>
  <c r="N19" i="30"/>
  <c r="B79" i="45"/>
  <c r="B80" i="45"/>
  <c r="B81" i="45"/>
  <c r="M19" i="30"/>
  <c r="B72" i="45"/>
  <c r="D36" i="45"/>
  <c r="C36" i="45"/>
  <c r="C39" i="45"/>
  <c r="C60" i="45"/>
  <c r="C61" i="45"/>
  <c r="F40" i="45"/>
  <c r="F39" i="45"/>
  <c r="F46" i="45"/>
  <c r="F51" i="45"/>
  <c r="F62" i="45"/>
  <c r="B73" i="45"/>
  <c r="B74" i="45"/>
  <c r="L19" i="30"/>
  <c r="B67" i="45"/>
  <c r="B68" i="45"/>
  <c r="B69" i="45"/>
  <c r="K19" i="30"/>
  <c r="F50" i="45"/>
  <c r="J19" i="30"/>
  <c r="I19" i="30"/>
  <c r="H19" i="30"/>
  <c r="F19" i="30"/>
  <c r="E19" i="30"/>
  <c r="C40" i="45"/>
  <c r="D19" i="30"/>
  <c r="C41" i="45"/>
  <c r="C19" i="30"/>
  <c r="B19" i="30"/>
  <c r="B24" i="45"/>
  <c r="B19" i="45"/>
  <c r="B17" i="45"/>
  <c r="B16" i="45"/>
  <c r="B18" i="38"/>
  <c r="B17" i="38"/>
  <c r="B23" i="36"/>
  <c r="B22" i="36"/>
  <c r="B16" i="44"/>
  <c r="B15" i="44"/>
  <c r="B12" i="39"/>
  <c r="B11" i="39"/>
  <c r="B16" i="31"/>
  <c r="C15" i="31"/>
  <c r="D15" i="31"/>
  <c r="B15" i="31"/>
  <c r="C14" i="40"/>
  <c r="D14" i="40"/>
  <c r="C13" i="40"/>
  <c r="D13" i="40"/>
  <c r="B14" i="40"/>
  <c r="B13" i="40"/>
  <c r="F14" i="23"/>
  <c r="F13" i="23"/>
  <c r="B14" i="43"/>
  <c r="C15" i="43"/>
  <c r="D15" i="43"/>
  <c r="C14" i="43"/>
  <c r="D14" i="43"/>
  <c r="B15" i="43"/>
  <c r="B13" i="29"/>
  <c r="B12" i="29"/>
  <c r="B16" i="28"/>
  <c r="B15" i="28"/>
  <c r="B12" i="33"/>
  <c r="B11" i="33"/>
  <c r="B13" i="45"/>
  <c r="B12" i="45"/>
  <c r="B10" i="45"/>
  <c r="B8" i="45"/>
  <c r="E29" i="45"/>
  <c r="B36" i="45"/>
  <c r="J40" i="45"/>
  <c r="J39" i="45"/>
  <c r="J46" i="45"/>
  <c r="J51" i="45"/>
  <c r="J60" i="45"/>
  <c r="J61" i="45"/>
  <c r="J62" i="45"/>
  <c r="I40" i="45"/>
  <c r="I39" i="45"/>
  <c r="I46" i="45"/>
  <c r="I51" i="45"/>
  <c r="I60" i="45"/>
  <c r="I61" i="45"/>
  <c r="I62" i="45"/>
  <c r="H40" i="45"/>
  <c r="H39" i="45"/>
  <c r="H46" i="45"/>
  <c r="H51" i="45"/>
  <c r="H60" i="45"/>
  <c r="H61" i="45"/>
  <c r="H62" i="45"/>
  <c r="G40" i="45"/>
  <c r="G39" i="45"/>
  <c r="G46" i="45"/>
  <c r="G51" i="45"/>
  <c r="G60" i="45"/>
  <c r="G61" i="45"/>
  <c r="G62" i="45"/>
  <c r="E40" i="45"/>
  <c r="E39" i="45"/>
  <c r="E46" i="45"/>
  <c r="E51" i="45"/>
  <c r="E60" i="45"/>
  <c r="E61" i="45"/>
  <c r="E62" i="45"/>
  <c r="D40" i="45"/>
  <c r="D39" i="45"/>
  <c r="D46" i="45"/>
  <c r="D51" i="45"/>
  <c r="D60" i="45"/>
  <c r="D61" i="45"/>
  <c r="D62" i="45"/>
  <c r="C46" i="45"/>
  <c r="C51" i="45"/>
  <c r="C62" i="45"/>
  <c r="I56" i="45"/>
  <c r="I57" i="45"/>
  <c r="H56" i="45"/>
  <c r="H57" i="45"/>
  <c r="G56" i="45"/>
  <c r="G57" i="45"/>
  <c r="F56" i="45"/>
  <c r="F57" i="45"/>
  <c r="E56" i="45"/>
  <c r="E57" i="45"/>
  <c r="D56" i="45"/>
  <c r="D57" i="45"/>
  <c r="C56" i="45"/>
  <c r="C57" i="45"/>
  <c r="J50" i="45"/>
  <c r="I50" i="45"/>
  <c r="H50" i="45"/>
  <c r="G50" i="45"/>
  <c r="E50" i="45"/>
  <c r="D50" i="45"/>
  <c r="C50" i="45"/>
  <c r="J45" i="45"/>
  <c r="I45" i="45"/>
  <c r="H45" i="45"/>
  <c r="G45" i="45"/>
  <c r="F45" i="45"/>
  <c r="E45" i="45"/>
  <c r="D45" i="45"/>
  <c r="C45" i="45"/>
  <c r="J41" i="45"/>
  <c r="I41" i="45"/>
  <c r="H41" i="45"/>
  <c r="G41" i="45"/>
  <c r="F41" i="45"/>
  <c r="E41" i="45"/>
  <c r="D41" i="45"/>
  <c r="C35" i="45"/>
  <c r="D35" i="45"/>
  <c r="A26" i="45"/>
  <c r="C6" i="44"/>
  <c r="D6" i="44"/>
  <c r="C7" i="44"/>
  <c r="D7" i="44"/>
  <c r="C8" i="44"/>
  <c r="D8" i="44"/>
  <c r="C9" i="44"/>
  <c r="D9" i="44"/>
  <c r="C10" i="44"/>
  <c r="D10" i="44"/>
  <c r="C11" i="44"/>
  <c r="D11" i="44"/>
  <c r="C12" i="44"/>
  <c r="D12" i="44"/>
  <c r="C13" i="44"/>
  <c r="D13" i="44"/>
  <c r="C14" i="44"/>
  <c r="D14" i="44"/>
  <c r="C15" i="44"/>
  <c r="D15" i="44"/>
  <c r="C16" i="44"/>
  <c r="D16" i="44"/>
  <c r="D17" i="44"/>
  <c r="D18" i="44"/>
  <c r="C26" i="44"/>
  <c r="D26" i="44"/>
  <c r="B76" i="44"/>
  <c r="J48" i="44"/>
  <c r="J49" i="44"/>
  <c r="B77" i="44"/>
  <c r="F52" i="44"/>
  <c r="F53" i="44"/>
  <c r="B78" i="44"/>
  <c r="B79" i="44"/>
  <c r="N22" i="30"/>
  <c r="B71" i="44"/>
  <c r="B72" i="44"/>
  <c r="B73" i="44"/>
  <c r="M22" i="30"/>
  <c r="B64" i="44"/>
  <c r="D28" i="44"/>
  <c r="C28" i="44"/>
  <c r="C31" i="44"/>
  <c r="C52" i="44"/>
  <c r="C53" i="44"/>
  <c r="F32" i="44"/>
  <c r="F31" i="44"/>
  <c r="F38" i="44"/>
  <c r="F43" i="44"/>
  <c r="F54" i="44"/>
  <c r="B65" i="44"/>
  <c r="B66" i="44"/>
  <c r="L22" i="30"/>
  <c r="B59" i="44"/>
  <c r="B60" i="44"/>
  <c r="B61" i="44"/>
  <c r="K22" i="30"/>
  <c r="F42" i="44"/>
  <c r="J22" i="30"/>
  <c r="I22" i="30"/>
  <c r="H22" i="30"/>
  <c r="F22" i="30"/>
  <c r="E22" i="30"/>
  <c r="C32" i="44"/>
  <c r="D22" i="30"/>
  <c r="C33" i="44"/>
  <c r="C22" i="30"/>
  <c r="B22" i="30"/>
  <c r="B12" i="44"/>
  <c r="B14" i="44"/>
  <c r="B11" i="44"/>
  <c r="B9" i="44"/>
  <c r="E21" i="44"/>
  <c r="B28" i="44"/>
  <c r="J32" i="44"/>
  <c r="J31" i="44"/>
  <c r="J38" i="44"/>
  <c r="J43" i="44"/>
  <c r="J52" i="44"/>
  <c r="J53" i="44"/>
  <c r="J54" i="44"/>
  <c r="I32" i="44"/>
  <c r="I31" i="44"/>
  <c r="I38" i="44"/>
  <c r="I43" i="44"/>
  <c r="I52" i="44"/>
  <c r="I53" i="44"/>
  <c r="I54" i="44"/>
  <c r="H32" i="44"/>
  <c r="H31" i="44"/>
  <c r="H38" i="44"/>
  <c r="H43" i="44"/>
  <c r="H52" i="44"/>
  <c r="H53" i="44"/>
  <c r="H54" i="44"/>
  <c r="G32" i="44"/>
  <c r="G31" i="44"/>
  <c r="G38" i="44"/>
  <c r="G43" i="44"/>
  <c r="G52" i="44"/>
  <c r="G53" i="44"/>
  <c r="G54" i="44"/>
  <c r="E32" i="44"/>
  <c r="E31" i="44"/>
  <c r="E38" i="44"/>
  <c r="E43" i="44"/>
  <c r="E52" i="44"/>
  <c r="E53" i="44"/>
  <c r="E54" i="44"/>
  <c r="D32" i="44"/>
  <c r="D31" i="44"/>
  <c r="D38" i="44"/>
  <c r="D43" i="44"/>
  <c r="D52" i="44"/>
  <c r="D53" i="44"/>
  <c r="D54" i="44"/>
  <c r="C38" i="44"/>
  <c r="C43" i="44"/>
  <c r="C54" i="44"/>
  <c r="I48" i="44"/>
  <c r="I49" i="44"/>
  <c r="H48" i="44"/>
  <c r="H49" i="44"/>
  <c r="G48" i="44"/>
  <c r="G49" i="44"/>
  <c r="F48" i="44"/>
  <c r="F49" i="44"/>
  <c r="E48" i="44"/>
  <c r="E49" i="44"/>
  <c r="D48" i="44"/>
  <c r="D49" i="44"/>
  <c r="C48" i="44"/>
  <c r="C49" i="44"/>
  <c r="J42" i="44"/>
  <c r="I42" i="44"/>
  <c r="H42" i="44"/>
  <c r="G42" i="44"/>
  <c r="E42" i="44"/>
  <c r="D42" i="44"/>
  <c r="C42" i="44"/>
  <c r="J37" i="44"/>
  <c r="I37" i="44"/>
  <c r="H37" i="44"/>
  <c r="G37" i="44"/>
  <c r="F37" i="44"/>
  <c r="E37" i="44"/>
  <c r="D37" i="44"/>
  <c r="C37" i="44"/>
  <c r="J33" i="44"/>
  <c r="I33" i="44"/>
  <c r="H33" i="44"/>
  <c r="G33" i="44"/>
  <c r="F33" i="44"/>
  <c r="E33" i="44"/>
  <c r="D33" i="44"/>
  <c r="C27" i="44"/>
  <c r="D27" i="44"/>
  <c r="A18" i="44"/>
  <c r="C6" i="43"/>
  <c r="D6" i="43"/>
  <c r="C7" i="43"/>
  <c r="D7" i="43"/>
  <c r="C8" i="43"/>
  <c r="D8" i="43"/>
  <c r="C9" i="43"/>
  <c r="D9" i="43"/>
  <c r="C10" i="43"/>
  <c r="D10" i="43"/>
  <c r="C11" i="43"/>
  <c r="D11" i="43"/>
  <c r="C12" i="43"/>
  <c r="D12" i="43"/>
  <c r="C13" i="43"/>
  <c r="D13" i="43"/>
  <c r="C16" i="43"/>
  <c r="D16" i="43"/>
  <c r="C17" i="43"/>
  <c r="D17" i="43"/>
  <c r="D18" i="43"/>
  <c r="D19" i="43"/>
  <c r="C27" i="43"/>
  <c r="D27" i="43"/>
  <c r="B77" i="43"/>
  <c r="J49" i="43"/>
  <c r="J50" i="43"/>
  <c r="B78" i="43"/>
  <c r="F53" i="43"/>
  <c r="F54" i="43"/>
  <c r="B79" i="43"/>
  <c r="B80" i="43"/>
  <c r="N15" i="30"/>
  <c r="B72" i="43"/>
  <c r="B73" i="43"/>
  <c r="B74" i="43"/>
  <c r="M15" i="30"/>
  <c r="B65" i="43"/>
  <c r="D29" i="43"/>
  <c r="C29" i="43"/>
  <c r="C32" i="43"/>
  <c r="C53" i="43"/>
  <c r="C54" i="43"/>
  <c r="F33" i="43"/>
  <c r="F32" i="43"/>
  <c r="F39" i="43"/>
  <c r="F44" i="43"/>
  <c r="F55" i="43"/>
  <c r="B66" i="43"/>
  <c r="B67" i="43"/>
  <c r="L15" i="30"/>
  <c r="B60" i="43"/>
  <c r="B61" i="43"/>
  <c r="B62" i="43"/>
  <c r="K15" i="30"/>
  <c r="F43" i="43"/>
  <c r="J15" i="30"/>
  <c r="I15" i="30"/>
  <c r="H15" i="30"/>
  <c r="F15" i="30"/>
  <c r="E15" i="30"/>
  <c r="C33" i="43"/>
  <c r="D15" i="30"/>
  <c r="C34" i="43"/>
  <c r="C15" i="30"/>
  <c r="B15" i="30"/>
  <c r="B17" i="43"/>
  <c r="B17" i="31"/>
  <c r="B16" i="39"/>
  <c r="B11" i="43"/>
  <c r="B10" i="43"/>
  <c r="B9" i="43"/>
  <c r="B8" i="43"/>
  <c r="C9" i="13"/>
  <c r="D9" i="13"/>
  <c r="E22" i="43"/>
  <c r="B29" i="43"/>
  <c r="J33" i="43"/>
  <c r="J32" i="43"/>
  <c r="J39" i="43"/>
  <c r="J44" i="43"/>
  <c r="J53" i="43"/>
  <c r="J54" i="43"/>
  <c r="J55" i="43"/>
  <c r="I33" i="43"/>
  <c r="I32" i="43"/>
  <c r="I39" i="43"/>
  <c r="I44" i="43"/>
  <c r="I53" i="43"/>
  <c r="I54" i="43"/>
  <c r="I55" i="43"/>
  <c r="H33" i="43"/>
  <c r="H32" i="43"/>
  <c r="H39" i="43"/>
  <c r="H44" i="43"/>
  <c r="H53" i="43"/>
  <c r="H54" i="43"/>
  <c r="H55" i="43"/>
  <c r="G33" i="43"/>
  <c r="G32" i="43"/>
  <c r="G39" i="43"/>
  <c r="G44" i="43"/>
  <c r="G53" i="43"/>
  <c r="G54" i="43"/>
  <c r="G55" i="43"/>
  <c r="E33" i="43"/>
  <c r="E32" i="43"/>
  <c r="E39" i="43"/>
  <c r="E44" i="43"/>
  <c r="E53" i="43"/>
  <c r="E54" i="43"/>
  <c r="E55" i="43"/>
  <c r="D33" i="43"/>
  <c r="D32" i="43"/>
  <c r="D39" i="43"/>
  <c r="D44" i="43"/>
  <c r="D53" i="43"/>
  <c r="D54" i="43"/>
  <c r="D55" i="43"/>
  <c r="C39" i="43"/>
  <c r="C44" i="43"/>
  <c r="C55" i="43"/>
  <c r="I49" i="43"/>
  <c r="I50" i="43"/>
  <c r="H49" i="43"/>
  <c r="H50" i="43"/>
  <c r="G49" i="43"/>
  <c r="G50" i="43"/>
  <c r="F49" i="43"/>
  <c r="F50" i="43"/>
  <c r="E49" i="43"/>
  <c r="E50" i="43"/>
  <c r="D49" i="43"/>
  <c r="D50" i="43"/>
  <c r="C49" i="43"/>
  <c r="C50" i="43"/>
  <c r="J43" i="43"/>
  <c r="I43" i="43"/>
  <c r="H43" i="43"/>
  <c r="G43" i="43"/>
  <c r="E43" i="43"/>
  <c r="D43" i="43"/>
  <c r="C43" i="43"/>
  <c r="J38" i="43"/>
  <c r="I38" i="43"/>
  <c r="H38" i="43"/>
  <c r="G38" i="43"/>
  <c r="F38" i="43"/>
  <c r="E38" i="43"/>
  <c r="D38" i="43"/>
  <c r="C38" i="43"/>
  <c r="J34" i="43"/>
  <c r="I34" i="43"/>
  <c r="H34" i="43"/>
  <c r="G34" i="43"/>
  <c r="F34" i="43"/>
  <c r="E34" i="43"/>
  <c r="D34" i="43"/>
  <c r="C28" i="43"/>
  <c r="D28" i="43"/>
  <c r="A19" i="43"/>
  <c r="C6" i="24"/>
  <c r="D6" i="24"/>
  <c r="C7" i="24"/>
  <c r="D7" i="24"/>
  <c r="C8" i="24"/>
  <c r="D8" i="24"/>
  <c r="C9" i="24"/>
  <c r="D9" i="24"/>
  <c r="C10" i="24"/>
  <c r="D10" i="24"/>
  <c r="C11" i="24"/>
  <c r="D11" i="24"/>
  <c r="C12" i="24"/>
  <c r="D12" i="24"/>
  <c r="C13" i="24"/>
  <c r="D13" i="24"/>
  <c r="C14" i="24"/>
  <c r="D14" i="24"/>
  <c r="C15" i="24"/>
  <c r="D15" i="24"/>
  <c r="D16" i="24"/>
  <c r="D17" i="24"/>
  <c r="C25" i="24"/>
  <c r="D25" i="24"/>
  <c r="B70" i="24"/>
  <c r="J47" i="24"/>
  <c r="J48" i="24"/>
  <c r="B71" i="24"/>
  <c r="B72" i="24"/>
  <c r="M7" i="30"/>
  <c r="C6" i="14"/>
  <c r="D6" i="14"/>
  <c r="C7" i="14"/>
  <c r="D7" i="14"/>
  <c r="C8" i="14"/>
  <c r="D8" i="14"/>
  <c r="C9" i="14"/>
  <c r="D9" i="14"/>
  <c r="C10" i="14"/>
  <c r="D10" i="14"/>
  <c r="C11" i="14"/>
  <c r="D11" i="14"/>
  <c r="C12" i="14"/>
  <c r="D12" i="14"/>
  <c r="C13" i="14"/>
  <c r="D13" i="14"/>
  <c r="D14" i="14"/>
  <c r="D15" i="14"/>
  <c r="C23" i="14"/>
  <c r="D23" i="14"/>
  <c r="B68" i="14"/>
  <c r="J45" i="14"/>
  <c r="J46" i="14"/>
  <c r="B69" i="14"/>
  <c r="B70" i="14"/>
  <c r="M8" i="30"/>
  <c r="C6" i="33"/>
  <c r="D6" i="33"/>
  <c r="C7" i="33"/>
  <c r="D7" i="33"/>
  <c r="C8" i="33"/>
  <c r="D8" i="33"/>
  <c r="C9" i="33"/>
  <c r="D9" i="33"/>
  <c r="C10" i="33"/>
  <c r="D10" i="33"/>
  <c r="C11" i="33"/>
  <c r="D11" i="33"/>
  <c r="C12" i="33"/>
  <c r="D12" i="33"/>
  <c r="C13" i="33"/>
  <c r="D13" i="33"/>
  <c r="D14" i="33"/>
  <c r="D15" i="33"/>
  <c r="C23" i="33"/>
  <c r="D23" i="33"/>
  <c r="B68" i="33"/>
  <c r="J45" i="33"/>
  <c r="J46" i="33"/>
  <c r="B69" i="33"/>
  <c r="B70" i="33"/>
  <c r="M9" i="30"/>
  <c r="D26" i="28"/>
  <c r="B71" i="28"/>
  <c r="J48" i="28"/>
  <c r="J49" i="28"/>
  <c r="B72" i="28"/>
  <c r="B73" i="28"/>
  <c r="M10" i="30"/>
  <c r="C6" i="21"/>
  <c r="D6" i="21"/>
  <c r="C7" i="21"/>
  <c r="D7" i="21"/>
  <c r="C8" i="21"/>
  <c r="D8" i="21"/>
  <c r="C9" i="21"/>
  <c r="D9" i="21"/>
  <c r="C10" i="21"/>
  <c r="D10" i="21"/>
  <c r="C11" i="21"/>
  <c r="D11" i="21"/>
  <c r="C12" i="21"/>
  <c r="D12" i="21"/>
  <c r="C13" i="21"/>
  <c r="D13" i="21"/>
  <c r="C14" i="21"/>
  <c r="D14" i="21"/>
  <c r="C15" i="21"/>
  <c r="D15" i="21"/>
  <c r="C16" i="21"/>
  <c r="D16" i="21"/>
  <c r="D17" i="21"/>
  <c r="D18" i="21"/>
  <c r="C26" i="21"/>
  <c r="D26" i="21"/>
  <c r="B71" i="21"/>
  <c r="J48" i="21"/>
  <c r="J49" i="21"/>
  <c r="B72" i="21"/>
  <c r="B73" i="21"/>
  <c r="M11" i="30"/>
  <c r="C6" i="29"/>
  <c r="D6" i="29"/>
  <c r="C7" i="29"/>
  <c r="D7" i="29"/>
  <c r="C8" i="29"/>
  <c r="D8" i="29"/>
  <c r="C9" i="29"/>
  <c r="D9" i="29"/>
  <c r="C10" i="29"/>
  <c r="D10" i="29"/>
  <c r="C11" i="29"/>
  <c r="D11" i="29"/>
  <c r="C12" i="29"/>
  <c r="D12" i="29"/>
  <c r="C13" i="29"/>
  <c r="D13" i="29"/>
  <c r="C14" i="29"/>
  <c r="D14" i="29"/>
  <c r="C15" i="29"/>
  <c r="D15" i="29"/>
  <c r="D16" i="29"/>
  <c r="D17" i="29"/>
  <c r="C25" i="29"/>
  <c r="D25" i="29"/>
  <c r="B70" i="29"/>
  <c r="J47" i="29"/>
  <c r="J48" i="29"/>
  <c r="B71" i="29"/>
  <c r="B72" i="29"/>
  <c r="M12" i="30"/>
  <c r="C6" i="13"/>
  <c r="D6" i="13"/>
  <c r="C7" i="13"/>
  <c r="D7" i="13"/>
  <c r="C8" i="13"/>
  <c r="D8" i="13"/>
  <c r="C10" i="13"/>
  <c r="D10" i="13"/>
  <c r="C11" i="13"/>
  <c r="D11" i="13"/>
  <c r="C12" i="13"/>
  <c r="D12" i="13"/>
  <c r="C13" i="13"/>
  <c r="B13" i="13"/>
  <c r="D13" i="13"/>
  <c r="C14" i="13"/>
  <c r="D14" i="13"/>
  <c r="C15" i="13"/>
  <c r="D15" i="13"/>
  <c r="C16" i="13"/>
  <c r="D16" i="13"/>
  <c r="D17" i="13"/>
  <c r="D21" i="13"/>
  <c r="E21" i="13"/>
  <c r="D18" i="13"/>
  <c r="C26" i="13"/>
  <c r="D26" i="13"/>
  <c r="B71" i="13"/>
  <c r="J48" i="13"/>
  <c r="J49" i="13"/>
  <c r="B72" i="13"/>
  <c r="B73" i="13"/>
  <c r="M13" i="30"/>
  <c r="C6" i="23"/>
  <c r="D6" i="23"/>
  <c r="C7" i="23"/>
  <c r="D7" i="23"/>
  <c r="C8" i="23"/>
  <c r="D8" i="23"/>
  <c r="C9" i="23"/>
  <c r="D9" i="23"/>
  <c r="C10" i="23"/>
  <c r="D10" i="23"/>
  <c r="C11" i="23"/>
  <c r="D11" i="23"/>
  <c r="C12" i="23"/>
  <c r="D12" i="23"/>
  <c r="C13" i="23"/>
  <c r="D13" i="23"/>
  <c r="C14" i="23"/>
  <c r="D14" i="23"/>
  <c r="D15" i="23"/>
  <c r="D16" i="23"/>
  <c r="C24" i="23"/>
  <c r="D24" i="23"/>
  <c r="B68" i="23"/>
  <c r="J45" i="23"/>
  <c r="J46" i="23"/>
  <c r="B69" i="23"/>
  <c r="B70" i="23"/>
  <c r="M16" i="30"/>
  <c r="C6" i="40"/>
  <c r="D6" i="40"/>
  <c r="C7" i="40"/>
  <c r="D7" i="40"/>
  <c r="C8" i="40"/>
  <c r="D8" i="40"/>
  <c r="C9" i="40"/>
  <c r="D9" i="40"/>
  <c r="C10" i="40"/>
  <c r="D10" i="40"/>
  <c r="C11" i="40"/>
  <c r="D11" i="40"/>
  <c r="C12" i="40"/>
  <c r="D12" i="40"/>
  <c r="C15" i="40"/>
  <c r="D15" i="40"/>
  <c r="C16" i="40"/>
  <c r="D16" i="40"/>
  <c r="D17" i="40"/>
  <c r="D18" i="40"/>
  <c r="C26" i="40"/>
  <c r="D26" i="40"/>
  <c r="B71" i="40"/>
  <c r="J48" i="40"/>
  <c r="J49" i="40"/>
  <c r="B72" i="40"/>
  <c r="B73" i="40"/>
  <c r="M14" i="30"/>
  <c r="C6" i="31"/>
  <c r="D6" i="31"/>
  <c r="C7" i="31"/>
  <c r="D7" i="31"/>
  <c r="C8" i="31"/>
  <c r="D8" i="31"/>
  <c r="C9" i="31"/>
  <c r="D9" i="31"/>
  <c r="C10" i="31"/>
  <c r="D10" i="31"/>
  <c r="C11" i="31"/>
  <c r="D11" i="31"/>
  <c r="C12" i="31"/>
  <c r="D12" i="31"/>
  <c r="C13" i="31"/>
  <c r="D13" i="31"/>
  <c r="C14" i="31"/>
  <c r="D14" i="31"/>
  <c r="C16" i="31"/>
  <c r="D16" i="31"/>
  <c r="C17" i="31"/>
  <c r="D17" i="31"/>
  <c r="D18" i="31"/>
  <c r="D19" i="31"/>
  <c r="C27" i="31"/>
  <c r="D27" i="31"/>
  <c r="B72" i="31"/>
  <c r="J49" i="31"/>
  <c r="J50" i="31"/>
  <c r="B73" i="31"/>
  <c r="B74" i="31"/>
  <c r="M17" i="30"/>
  <c r="C6" i="42"/>
  <c r="D6" i="42"/>
  <c r="C7" i="42"/>
  <c r="D7" i="42"/>
  <c r="C8" i="42"/>
  <c r="D8" i="42"/>
  <c r="C9" i="42"/>
  <c r="D9" i="42"/>
  <c r="C10" i="42"/>
  <c r="D10" i="42"/>
  <c r="C11" i="42"/>
  <c r="D11" i="42"/>
  <c r="C12" i="42"/>
  <c r="D12" i="42"/>
  <c r="C13" i="42"/>
  <c r="D13" i="42"/>
  <c r="D14" i="42"/>
  <c r="D15" i="42"/>
  <c r="C23" i="42"/>
  <c r="D23" i="42"/>
  <c r="B68" i="42"/>
  <c r="J45" i="42"/>
  <c r="J46" i="42"/>
  <c r="B69" i="42"/>
  <c r="B70" i="42"/>
  <c r="M18" i="30"/>
  <c r="C6" i="39"/>
  <c r="D6" i="39"/>
  <c r="C7" i="39"/>
  <c r="D7" i="39"/>
  <c r="C8" i="39"/>
  <c r="D8" i="39"/>
  <c r="C9" i="39"/>
  <c r="D9" i="39"/>
  <c r="C10" i="39"/>
  <c r="D10" i="39"/>
  <c r="C11" i="39"/>
  <c r="D11" i="39"/>
  <c r="C12" i="39"/>
  <c r="D12" i="39"/>
  <c r="C13" i="39"/>
  <c r="D13" i="39"/>
  <c r="C14" i="39"/>
  <c r="D14" i="39"/>
  <c r="C15" i="39"/>
  <c r="D15" i="39"/>
  <c r="C16" i="39"/>
  <c r="D16" i="39"/>
  <c r="C17" i="39"/>
  <c r="D17" i="39"/>
  <c r="D18" i="39"/>
  <c r="D19" i="39"/>
  <c r="C27" i="39"/>
  <c r="D27" i="39"/>
  <c r="B72" i="39"/>
  <c r="J49" i="39"/>
  <c r="J50" i="39"/>
  <c r="B73" i="39"/>
  <c r="B74" i="39"/>
  <c r="M20" i="30"/>
  <c r="C6" i="32"/>
  <c r="D6" i="32"/>
  <c r="C7" i="32"/>
  <c r="D7" i="32"/>
  <c r="C8" i="32"/>
  <c r="D8" i="32"/>
  <c r="C9" i="32"/>
  <c r="D9" i="32"/>
  <c r="C10" i="32"/>
  <c r="D10" i="32"/>
  <c r="C11" i="32"/>
  <c r="D11" i="32"/>
  <c r="C12" i="32"/>
  <c r="D12" i="32"/>
  <c r="C13" i="32"/>
  <c r="D13" i="32"/>
  <c r="C14" i="32"/>
  <c r="D14" i="32"/>
  <c r="C15" i="32"/>
  <c r="D15" i="32"/>
  <c r="C16" i="32"/>
  <c r="D16" i="32"/>
  <c r="C17" i="32"/>
  <c r="D17" i="32"/>
  <c r="D18" i="32"/>
  <c r="D19" i="32"/>
  <c r="C27" i="32"/>
  <c r="D27" i="32"/>
  <c r="B72" i="32"/>
  <c r="J49" i="32"/>
  <c r="J50" i="32"/>
  <c r="B73" i="32"/>
  <c r="B74" i="32"/>
  <c r="M21" i="30"/>
  <c r="C6" i="36"/>
  <c r="D6" i="36"/>
  <c r="C7" i="36"/>
  <c r="D7" i="36"/>
  <c r="C8" i="36"/>
  <c r="D8" i="36"/>
  <c r="C9" i="36"/>
  <c r="D9" i="36"/>
  <c r="C10" i="36"/>
  <c r="D10" i="36"/>
  <c r="C11" i="36"/>
  <c r="D11" i="36"/>
  <c r="C12" i="36"/>
  <c r="D12" i="36"/>
  <c r="C13" i="36"/>
  <c r="D13" i="36"/>
  <c r="C14" i="36"/>
  <c r="D14" i="36"/>
  <c r="C15" i="36"/>
  <c r="D15" i="36"/>
  <c r="C16" i="36"/>
  <c r="D16" i="36"/>
  <c r="C17" i="36"/>
  <c r="D17" i="36"/>
  <c r="C18" i="36"/>
  <c r="D18" i="36"/>
  <c r="C19" i="36"/>
  <c r="D19" i="36"/>
  <c r="C20" i="36"/>
  <c r="D20" i="36"/>
  <c r="C21" i="36"/>
  <c r="D21" i="36"/>
  <c r="C22" i="36"/>
  <c r="D22" i="36"/>
  <c r="C23" i="36"/>
  <c r="D23" i="36"/>
  <c r="C24" i="36"/>
  <c r="D24" i="36"/>
  <c r="C25" i="36"/>
  <c r="D25" i="36"/>
  <c r="D26" i="36"/>
  <c r="D27" i="36"/>
  <c r="C35" i="36"/>
  <c r="D35" i="36"/>
  <c r="B80" i="36"/>
  <c r="J57" i="36"/>
  <c r="J58" i="36"/>
  <c r="B81" i="36"/>
  <c r="B82" i="36"/>
  <c r="M23" i="30"/>
  <c r="C6" i="38"/>
  <c r="D6" i="38"/>
  <c r="C7" i="38"/>
  <c r="D7" i="38"/>
  <c r="C8" i="38"/>
  <c r="D8" i="38"/>
  <c r="C9" i="38"/>
  <c r="D9" i="38"/>
  <c r="C10" i="38"/>
  <c r="D10" i="38"/>
  <c r="C11" i="38"/>
  <c r="D11" i="38"/>
  <c r="C12" i="38"/>
  <c r="D12" i="38"/>
  <c r="C13" i="38"/>
  <c r="D13" i="38"/>
  <c r="C14" i="38"/>
  <c r="D14" i="38"/>
  <c r="C15" i="38"/>
  <c r="D15" i="38"/>
  <c r="C16" i="38"/>
  <c r="D16" i="38"/>
  <c r="C17" i="38"/>
  <c r="D17" i="38"/>
  <c r="C18" i="38"/>
  <c r="D18" i="38"/>
  <c r="C19" i="38"/>
  <c r="D19" i="38"/>
  <c r="D20" i="38"/>
  <c r="D21" i="38"/>
  <c r="C29" i="38"/>
  <c r="D29" i="38"/>
  <c r="B74" i="38"/>
  <c r="J51" i="38"/>
  <c r="J52" i="38"/>
  <c r="B75" i="38"/>
  <c r="B76" i="38"/>
  <c r="M24" i="30"/>
  <c r="M26" i="30"/>
  <c r="B73" i="42"/>
  <c r="B74" i="42"/>
  <c r="F49" i="42"/>
  <c r="F50" i="42"/>
  <c r="B75" i="42"/>
  <c r="B76" i="42"/>
  <c r="N18" i="30"/>
  <c r="B61" i="42"/>
  <c r="D25" i="42"/>
  <c r="C25" i="42"/>
  <c r="C28" i="42"/>
  <c r="C49" i="42"/>
  <c r="C50" i="42"/>
  <c r="F29" i="42"/>
  <c r="F28" i="42"/>
  <c r="F35" i="42"/>
  <c r="F40" i="42"/>
  <c r="F51" i="42"/>
  <c r="B62" i="42"/>
  <c r="B63" i="42"/>
  <c r="L18" i="30"/>
  <c r="B56" i="42"/>
  <c r="B57" i="42"/>
  <c r="B58" i="42"/>
  <c r="K18" i="30"/>
  <c r="F39" i="42"/>
  <c r="J18" i="30"/>
  <c r="I18" i="30"/>
  <c r="H18" i="30"/>
  <c r="F18" i="30"/>
  <c r="E18" i="30"/>
  <c r="C29" i="42"/>
  <c r="D18" i="30"/>
  <c r="C30" i="42"/>
  <c r="C18" i="30"/>
  <c r="B18" i="30"/>
  <c r="B13" i="42"/>
  <c r="B12" i="42"/>
  <c r="B11" i="42"/>
  <c r="B10" i="42"/>
  <c r="B7" i="42"/>
  <c r="E18" i="42"/>
  <c r="B25" i="42"/>
  <c r="J29" i="42"/>
  <c r="J28" i="42"/>
  <c r="J35" i="42"/>
  <c r="J40" i="42"/>
  <c r="J49" i="42"/>
  <c r="J50" i="42"/>
  <c r="J51" i="42"/>
  <c r="I29" i="42"/>
  <c r="I28" i="42"/>
  <c r="I35" i="42"/>
  <c r="I40" i="42"/>
  <c r="I49" i="42"/>
  <c r="I50" i="42"/>
  <c r="I51" i="42"/>
  <c r="H29" i="42"/>
  <c r="H28" i="42"/>
  <c r="H35" i="42"/>
  <c r="H40" i="42"/>
  <c r="H49" i="42"/>
  <c r="H50" i="42"/>
  <c r="H51" i="42"/>
  <c r="G29" i="42"/>
  <c r="G28" i="42"/>
  <c r="G35" i="42"/>
  <c r="G40" i="42"/>
  <c r="G49" i="42"/>
  <c r="G50" i="42"/>
  <c r="G51" i="42"/>
  <c r="E29" i="42"/>
  <c r="E28" i="42"/>
  <c r="E35" i="42"/>
  <c r="E40" i="42"/>
  <c r="E49" i="42"/>
  <c r="E50" i="42"/>
  <c r="E51" i="42"/>
  <c r="D29" i="42"/>
  <c r="D28" i="42"/>
  <c r="D35" i="42"/>
  <c r="D40" i="42"/>
  <c r="D49" i="42"/>
  <c r="D50" i="42"/>
  <c r="D51" i="42"/>
  <c r="C35" i="42"/>
  <c r="C40" i="42"/>
  <c r="C51" i="42"/>
  <c r="I45" i="42"/>
  <c r="I46" i="42"/>
  <c r="H45" i="42"/>
  <c r="H46" i="42"/>
  <c r="G45" i="42"/>
  <c r="G46" i="42"/>
  <c r="F45" i="42"/>
  <c r="F46" i="42"/>
  <c r="E45" i="42"/>
  <c r="E46" i="42"/>
  <c r="D45" i="42"/>
  <c r="D46" i="42"/>
  <c r="C45" i="42"/>
  <c r="C46" i="42"/>
  <c r="J39" i="42"/>
  <c r="I39" i="42"/>
  <c r="H39" i="42"/>
  <c r="G39" i="42"/>
  <c r="E39" i="42"/>
  <c r="D39" i="42"/>
  <c r="C39" i="42"/>
  <c r="J34" i="42"/>
  <c r="I34" i="42"/>
  <c r="H34" i="42"/>
  <c r="G34" i="42"/>
  <c r="F34" i="42"/>
  <c r="E34" i="42"/>
  <c r="D34" i="42"/>
  <c r="C34" i="42"/>
  <c r="J30" i="42"/>
  <c r="I30" i="42"/>
  <c r="H30" i="42"/>
  <c r="G30" i="42"/>
  <c r="F30" i="42"/>
  <c r="E30" i="42"/>
  <c r="D30" i="42"/>
  <c r="C24" i="42"/>
  <c r="D24" i="42"/>
  <c r="A15" i="42"/>
  <c r="B7" i="40"/>
  <c r="B76" i="40"/>
  <c r="B77" i="40"/>
  <c r="F52" i="40"/>
  <c r="F53" i="40"/>
  <c r="B78" i="40"/>
  <c r="B79" i="40"/>
  <c r="N14" i="30"/>
  <c r="B75" i="24"/>
  <c r="B76" i="24"/>
  <c r="F51" i="24"/>
  <c r="F52" i="24"/>
  <c r="B77" i="24"/>
  <c r="B78" i="24"/>
  <c r="N7" i="30"/>
  <c r="B73" i="14"/>
  <c r="B74" i="14"/>
  <c r="F49" i="14"/>
  <c r="F50" i="14"/>
  <c r="B75" i="14"/>
  <c r="B76" i="14"/>
  <c r="N8" i="30"/>
  <c r="B73" i="33"/>
  <c r="B74" i="33"/>
  <c r="F49" i="33"/>
  <c r="F50" i="33"/>
  <c r="B75" i="33"/>
  <c r="B76" i="33"/>
  <c r="N9" i="30"/>
  <c r="B76" i="28"/>
  <c r="B77" i="28"/>
  <c r="F52" i="28"/>
  <c r="F53" i="28"/>
  <c r="B78" i="28"/>
  <c r="B79" i="28"/>
  <c r="N10" i="30"/>
  <c r="B76" i="21"/>
  <c r="B77" i="21"/>
  <c r="F52" i="21"/>
  <c r="F53" i="21"/>
  <c r="B78" i="21"/>
  <c r="B79" i="21"/>
  <c r="N11" i="30"/>
  <c r="B75" i="29"/>
  <c r="B76" i="29"/>
  <c r="F51" i="29"/>
  <c r="F52" i="29"/>
  <c r="B77" i="29"/>
  <c r="B78" i="29"/>
  <c r="N12" i="30"/>
  <c r="B76" i="13"/>
  <c r="B77" i="13"/>
  <c r="F52" i="13"/>
  <c r="F53" i="13"/>
  <c r="B78" i="13"/>
  <c r="B79" i="13"/>
  <c r="N13" i="30"/>
  <c r="B73" i="23"/>
  <c r="B74" i="23"/>
  <c r="F49" i="23"/>
  <c r="F50" i="23"/>
  <c r="B75" i="23"/>
  <c r="B76" i="23"/>
  <c r="N16" i="30"/>
  <c r="B77" i="31"/>
  <c r="B78" i="31"/>
  <c r="F53" i="31"/>
  <c r="F54" i="31"/>
  <c r="B79" i="31"/>
  <c r="B80" i="31"/>
  <c r="N17" i="30"/>
  <c r="B77" i="39"/>
  <c r="B78" i="39"/>
  <c r="F53" i="39"/>
  <c r="F54" i="39"/>
  <c r="B79" i="39"/>
  <c r="B80" i="39"/>
  <c r="N20" i="30"/>
  <c r="B77" i="32"/>
  <c r="B78" i="32"/>
  <c r="F53" i="32"/>
  <c r="F54" i="32"/>
  <c r="B79" i="32"/>
  <c r="B80" i="32"/>
  <c r="N21" i="30"/>
  <c r="B85" i="36"/>
  <c r="B86" i="36"/>
  <c r="F61" i="36"/>
  <c r="F62" i="36"/>
  <c r="B87" i="36"/>
  <c r="B88" i="36"/>
  <c r="N23" i="30"/>
  <c r="B79" i="38"/>
  <c r="B80" i="38"/>
  <c r="F55" i="38"/>
  <c r="F56" i="38"/>
  <c r="B81" i="38"/>
  <c r="B82" i="38"/>
  <c r="N24" i="30"/>
  <c r="N26" i="30"/>
  <c r="B64" i="40"/>
  <c r="D28" i="40"/>
  <c r="C28" i="40"/>
  <c r="C31" i="40"/>
  <c r="C52" i="40"/>
  <c r="C53" i="40"/>
  <c r="F32" i="40"/>
  <c r="F31" i="40"/>
  <c r="F38" i="40"/>
  <c r="F43" i="40"/>
  <c r="F54" i="40"/>
  <c r="B65" i="40"/>
  <c r="B66" i="40"/>
  <c r="L14" i="30"/>
  <c r="B63" i="24"/>
  <c r="D27" i="24"/>
  <c r="C27" i="24"/>
  <c r="C30" i="24"/>
  <c r="C51" i="24"/>
  <c r="C52" i="24"/>
  <c r="F31" i="24"/>
  <c r="F30" i="24"/>
  <c r="F37" i="24"/>
  <c r="F42" i="24"/>
  <c r="F53" i="24"/>
  <c r="B64" i="24"/>
  <c r="B65" i="24"/>
  <c r="L7" i="30"/>
  <c r="B61" i="14"/>
  <c r="D25" i="14"/>
  <c r="C25" i="14"/>
  <c r="C28" i="14"/>
  <c r="C49" i="14"/>
  <c r="C50" i="14"/>
  <c r="F29" i="14"/>
  <c r="F28" i="14"/>
  <c r="F35" i="14"/>
  <c r="F40" i="14"/>
  <c r="F51" i="14"/>
  <c r="B62" i="14"/>
  <c r="B63" i="14"/>
  <c r="L8" i="30"/>
  <c r="B61" i="33"/>
  <c r="D25" i="33"/>
  <c r="C25" i="33"/>
  <c r="C28" i="33"/>
  <c r="C49" i="33"/>
  <c r="C50" i="33"/>
  <c r="F29" i="33"/>
  <c r="F28" i="33"/>
  <c r="F35" i="33"/>
  <c r="F40" i="33"/>
  <c r="F51" i="33"/>
  <c r="B62" i="33"/>
  <c r="B63" i="33"/>
  <c r="L9" i="30"/>
  <c r="B64" i="28"/>
  <c r="D28" i="28"/>
  <c r="C28" i="28"/>
  <c r="C31" i="28"/>
  <c r="C52" i="28"/>
  <c r="C53" i="28"/>
  <c r="F32" i="28"/>
  <c r="F31" i="28"/>
  <c r="F38" i="28"/>
  <c r="F43" i="28"/>
  <c r="F54" i="28"/>
  <c r="B65" i="28"/>
  <c r="B66" i="28"/>
  <c r="L10" i="30"/>
  <c r="B64" i="21"/>
  <c r="D28" i="21"/>
  <c r="C28" i="21"/>
  <c r="C31" i="21"/>
  <c r="C52" i="21"/>
  <c r="C53" i="21"/>
  <c r="F32" i="21"/>
  <c r="F31" i="21"/>
  <c r="F38" i="21"/>
  <c r="F43" i="21"/>
  <c r="F54" i="21"/>
  <c r="B65" i="21"/>
  <c r="B66" i="21"/>
  <c r="L11" i="30"/>
  <c r="B63" i="29"/>
  <c r="D27" i="29"/>
  <c r="C27" i="29"/>
  <c r="C30" i="29"/>
  <c r="C51" i="29"/>
  <c r="C52" i="29"/>
  <c r="F31" i="29"/>
  <c r="F30" i="29"/>
  <c r="F37" i="29"/>
  <c r="F42" i="29"/>
  <c r="F53" i="29"/>
  <c r="B64" i="29"/>
  <c r="B65" i="29"/>
  <c r="L12" i="30"/>
  <c r="B64" i="13"/>
  <c r="D28" i="13"/>
  <c r="B28" i="13"/>
  <c r="C28" i="13"/>
  <c r="C31" i="13"/>
  <c r="C52" i="13"/>
  <c r="C53" i="13"/>
  <c r="B32" i="13"/>
  <c r="F32" i="13"/>
  <c r="F31" i="13"/>
  <c r="F38" i="13"/>
  <c r="F43" i="13"/>
  <c r="F54" i="13"/>
  <c r="B65" i="13"/>
  <c r="B66" i="13"/>
  <c r="L13" i="30"/>
  <c r="B61" i="23"/>
  <c r="D26" i="23"/>
  <c r="C26" i="23"/>
  <c r="C29" i="23"/>
  <c r="C49" i="23"/>
  <c r="C50" i="23"/>
  <c r="F30" i="23"/>
  <c r="F29" i="23"/>
  <c r="F36" i="23"/>
  <c r="F40" i="23"/>
  <c r="F51" i="23"/>
  <c r="B62" i="23"/>
  <c r="B63" i="23"/>
  <c r="L16" i="30"/>
  <c r="B65" i="31"/>
  <c r="D29" i="31"/>
  <c r="C29" i="31"/>
  <c r="C32" i="31"/>
  <c r="C53" i="31"/>
  <c r="C54" i="31"/>
  <c r="F33" i="31"/>
  <c r="F32" i="31"/>
  <c r="F39" i="31"/>
  <c r="F44" i="31"/>
  <c r="F55" i="31"/>
  <c r="B66" i="31"/>
  <c r="B67" i="31"/>
  <c r="L17" i="30"/>
  <c r="B65" i="39"/>
  <c r="D29" i="39"/>
  <c r="C29" i="39"/>
  <c r="C32" i="39"/>
  <c r="C53" i="39"/>
  <c r="C54" i="39"/>
  <c r="F33" i="39"/>
  <c r="F32" i="39"/>
  <c r="F39" i="39"/>
  <c r="F44" i="39"/>
  <c r="F55" i="39"/>
  <c r="B66" i="39"/>
  <c r="B67" i="39"/>
  <c r="L20" i="30"/>
  <c r="B65" i="32"/>
  <c r="D29" i="32"/>
  <c r="C29" i="32"/>
  <c r="C32" i="32"/>
  <c r="C53" i="32"/>
  <c r="C54" i="32"/>
  <c r="F33" i="32"/>
  <c r="F32" i="32"/>
  <c r="F39" i="32"/>
  <c r="F44" i="32"/>
  <c r="F55" i="32"/>
  <c r="B66" i="32"/>
  <c r="B67" i="32"/>
  <c r="L21" i="30"/>
  <c r="B73" i="36"/>
  <c r="D37" i="36"/>
  <c r="C37" i="36"/>
  <c r="C40" i="36"/>
  <c r="C61" i="36"/>
  <c r="C62" i="36"/>
  <c r="F41" i="36"/>
  <c r="F40" i="36"/>
  <c r="F47" i="36"/>
  <c r="F52" i="36"/>
  <c r="F63" i="36"/>
  <c r="B74" i="36"/>
  <c r="B75" i="36"/>
  <c r="L23" i="30"/>
  <c r="B67" i="38"/>
  <c r="D31" i="38"/>
  <c r="C31" i="38"/>
  <c r="C34" i="38"/>
  <c r="C55" i="38"/>
  <c r="C56" i="38"/>
  <c r="F35" i="38"/>
  <c r="F34" i="38"/>
  <c r="F41" i="38"/>
  <c r="F46" i="38"/>
  <c r="F57" i="38"/>
  <c r="B68" i="38"/>
  <c r="B69" i="38"/>
  <c r="L24" i="30"/>
  <c r="L26" i="30"/>
  <c r="B59" i="40"/>
  <c r="B60" i="40"/>
  <c r="B61" i="40"/>
  <c r="K14" i="30"/>
  <c r="B58" i="24"/>
  <c r="B59" i="24"/>
  <c r="B60" i="24"/>
  <c r="K7" i="30"/>
  <c r="B56" i="14"/>
  <c r="B57" i="14"/>
  <c r="B58" i="14"/>
  <c r="K8" i="30"/>
  <c r="B56" i="33"/>
  <c r="B57" i="33"/>
  <c r="B58" i="33"/>
  <c r="K9" i="30"/>
  <c r="B59" i="28"/>
  <c r="B60" i="28"/>
  <c r="B61" i="28"/>
  <c r="K10" i="30"/>
  <c r="B59" i="21"/>
  <c r="B60" i="21"/>
  <c r="B61" i="21"/>
  <c r="K11" i="30"/>
  <c r="B58" i="29"/>
  <c r="B59" i="29"/>
  <c r="B60" i="29"/>
  <c r="K12" i="30"/>
  <c r="B59" i="13"/>
  <c r="B60" i="13"/>
  <c r="B61" i="13"/>
  <c r="K13" i="30"/>
  <c r="B56" i="23"/>
  <c r="B57" i="23"/>
  <c r="B58" i="23"/>
  <c r="K16" i="30"/>
  <c r="B60" i="31"/>
  <c r="B61" i="31"/>
  <c r="B62" i="31"/>
  <c r="K17" i="30"/>
  <c r="B60" i="39"/>
  <c r="B61" i="39"/>
  <c r="B62" i="39"/>
  <c r="K20" i="30"/>
  <c r="B60" i="32"/>
  <c r="B61" i="32"/>
  <c r="B62" i="32"/>
  <c r="K21" i="30"/>
  <c r="B68" i="36"/>
  <c r="B69" i="36"/>
  <c r="B70" i="36"/>
  <c r="K23" i="30"/>
  <c r="B62" i="38"/>
  <c r="B63" i="38"/>
  <c r="B64" i="38"/>
  <c r="K24" i="30"/>
  <c r="K26" i="30"/>
  <c r="F14" i="30"/>
  <c r="F7" i="30"/>
  <c r="F8" i="30"/>
  <c r="F9" i="30"/>
  <c r="F10" i="30"/>
  <c r="F11" i="30"/>
  <c r="F12" i="30"/>
  <c r="F13" i="30"/>
  <c r="F16" i="30"/>
  <c r="F17" i="30"/>
  <c r="F20" i="30"/>
  <c r="F21" i="30"/>
  <c r="F23" i="30"/>
  <c r="F24" i="30"/>
  <c r="F26" i="30"/>
  <c r="E14" i="30"/>
  <c r="E7" i="30"/>
  <c r="E8" i="30"/>
  <c r="E9" i="30"/>
  <c r="E10" i="30"/>
  <c r="E11" i="30"/>
  <c r="E12" i="30"/>
  <c r="E13" i="30"/>
  <c r="E16" i="30"/>
  <c r="E17" i="30"/>
  <c r="E20" i="30"/>
  <c r="E21" i="30"/>
  <c r="E23" i="30"/>
  <c r="E24" i="30"/>
  <c r="E26" i="30"/>
  <c r="C32" i="40"/>
  <c r="D14" i="30"/>
  <c r="C31" i="24"/>
  <c r="D7" i="30"/>
  <c r="C29" i="14"/>
  <c r="D8" i="30"/>
  <c r="C29" i="33"/>
  <c r="D9" i="30"/>
  <c r="C32" i="28"/>
  <c r="D10" i="30"/>
  <c r="C32" i="21"/>
  <c r="D11" i="30"/>
  <c r="C31" i="29"/>
  <c r="D12" i="30"/>
  <c r="C32" i="13"/>
  <c r="D13" i="30"/>
  <c r="C30" i="23"/>
  <c r="D16" i="30"/>
  <c r="C33" i="31"/>
  <c r="D17" i="30"/>
  <c r="C33" i="39"/>
  <c r="D20" i="30"/>
  <c r="C33" i="32"/>
  <c r="D21" i="30"/>
  <c r="C41" i="36"/>
  <c r="D23" i="30"/>
  <c r="C35" i="38"/>
  <c r="D24" i="30"/>
  <c r="D26" i="30"/>
  <c r="C33" i="40"/>
  <c r="C14" i="30"/>
  <c r="C32" i="24"/>
  <c r="C7" i="30"/>
  <c r="C30" i="14"/>
  <c r="C8" i="30"/>
  <c r="C30" i="33"/>
  <c r="C9" i="30"/>
  <c r="C33" i="28"/>
  <c r="C10" i="30"/>
  <c r="C33" i="21"/>
  <c r="C11" i="30"/>
  <c r="C32" i="29"/>
  <c r="C12" i="30"/>
  <c r="C33" i="13"/>
  <c r="C13" i="30"/>
  <c r="C31" i="23"/>
  <c r="C16" i="30"/>
  <c r="C34" i="31"/>
  <c r="C17" i="30"/>
  <c r="C34" i="39"/>
  <c r="C20" i="30"/>
  <c r="C34" i="32"/>
  <c r="C21" i="30"/>
  <c r="C42" i="36"/>
  <c r="C23" i="30"/>
  <c r="C36" i="38"/>
  <c r="C24" i="30"/>
  <c r="F42" i="40"/>
  <c r="J14" i="30"/>
  <c r="I14" i="30"/>
  <c r="H14" i="30"/>
  <c r="B14" i="30"/>
  <c r="E21" i="40"/>
  <c r="B28" i="40"/>
  <c r="J32" i="40"/>
  <c r="J31" i="40"/>
  <c r="J38" i="40"/>
  <c r="J43" i="40"/>
  <c r="J52" i="40"/>
  <c r="J53" i="40"/>
  <c r="J54" i="40"/>
  <c r="I32" i="40"/>
  <c r="I31" i="40"/>
  <c r="I38" i="40"/>
  <c r="I43" i="40"/>
  <c r="I52" i="40"/>
  <c r="I53" i="40"/>
  <c r="I54" i="40"/>
  <c r="H32" i="40"/>
  <c r="H31" i="40"/>
  <c r="H38" i="40"/>
  <c r="H43" i="40"/>
  <c r="H52" i="40"/>
  <c r="H53" i="40"/>
  <c r="H54" i="40"/>
  <c r="G32" i="40"/>
  <c r="G31" i="40"/>
  <c r="G38" i="40"/>
  <c r="G43" i="40"/>
  <c r="G52" i="40"/>
  <c r="G53" i="40"/>
  <c r="G54" i="40"/>
  <c r="E32" i="40"/>
  <c r="E31" i="40"/>
  <c r="E38" i="40"/>
  <c r="E43" i="40"/>
  <c r="E52" i="40"/>
  <c r="E53" i="40"/>
  <c r="E54" i="40"/>
  <c r="D32" i="40"/>
  <c r="D31" i="40"/>
  <c r="D38" i="40"/>
  <c r="D43" i="40"/>
  <c r="D52" i="40"/>
  <c r="D53" i="40"/>
  <c r="D54" i="40"/>
  <c r="C38" i="40"/>
  <c r="C43" i="40"/>
  <c r="C54" i="40"/>
  <c r="I48" i="40"/>
  <c r="I49" i="40"/>
  <c r="H48" i="40"/>
  <c r="H49" i="40"/>
  <c r="G48" i="40"/>
  <c r="G49" i="40"/>
  <c r="F48" i="40"/>
  <c r="F49" i="40"/>
  <c r="E48" i="40"/>
  <c r="E49" i="40"/>
  <c r="D48" i="40"/>
  <c r="D49" i="40"/>
  <c r="C48" i="40"/>
  <c r="C49" i="40"/>
  <c r="J42" i="40"/>
  <c r="I42" i="40"/>
  <c r="H42" i="40"/>
  <c r="G42" i="40"/>
  <c r="E42" i="40"/>
  <c r="D42" i="40"/>
  <c r="C42" i="40"/>
  <c r="J37" i="40"/>
  <c r="I37" i="40"/>
  <c r="H37" i="40"/>
  <c r="G37" i="40"/>
  <c r="F37" i="40"/>
  <c r="E37" i="40"/>
  <c r="D37" i="40"/>
  <c r="C37" i="40"/>
  <c r="J33" i="40"/>
  <c r="I33" i="40"/>
  <c r="H33" i="40"/>
  <c r="G33" i="40"/>
  <c r="F33" i="40"/>
  <c r="E33" i="40"/>
  <c r="D33" i="40"/>
  <c r="C27" i="40"/>
  <c r="D27" i="40"/>
  <c r="A18" i="40"/>
  <c r="F43" i="39"/>
  <c r="J20" i="30"/>
  <c r="I20" i="30"/>
  <c r="H20" i="30"/>
  <c r="B20" i="30"/>
  <c r="E22" i="39"/>
  <c r="B29" i="39"/>
  <c r="J33" i="39"/>
  <c r="J32" i="39"/>
  <c r="J39" i="39"/>
  <c r="J44" i="39"/>
  <c r="J53" i="39"/>
  <c r="J54" i="39"/>
  <c r="J55" i="39"/>
  <c r="I33" i="39"/>
  <c r="I32" i="39"/>
  <c r="I39" i="39"/>
  <c r="I44" i="39"/>
  <c r="I53" i="39"/>
  <c r="I54" i="39"/>
  <c r="I55" i="39"/>
  <c r="H33" i="39"/>
  <c r="H32" i="39"/>
  <c r="H39" i="39"/>
  <c r="H44" i="39"/>
  <c r="H53" i="39"/>
  <c r="H54" i="39"/>
  <c r="H55" i="39"/>
  <c r="G33" i="39"/>
  <c r="G32" i="39"/>
  <c r="G39" i="39"/>
  <c r="G44" i="39"/>
  <c r="G53" i="39"/>
  <c r="G54" i="39"/>
  <c r="G55" i="39"/>
  <c r="E33" i="39"/>
  <c r="E32" i="39"/>
  <c r="E39" i="39"/>
  <c r="E44" i="39"/>
  <c r="E53" i="39"/>
  <c r="E54" i="39"/>
  <c r="E55" i="39"/>
  <c r="D33" i="39"/>
  <c r="D32" i="39"/>
  <c r="D39" i="39"/>
  <c r="D44" i="39"/>
  <c r="D53" i="39"/>
  <c r="D54" i="39"/>
  <c r="D55" i="39"/>
  <c r="C39" i="39"/>
  <c r="C44" i="39"/>
  <c r="C55" i="39"/>
  <c r="I49" i="39"/>
  <c r="I50" i="39"/>
  <c r="H49" i="39"/>
  <c r="H50" i="39"/>
  <c r="G49" i="39"/>
  <c r="G50" i="39"/>
  <c r="F49" i="39"/>
  <c r="F50" i="39"/>
  <c r="E49" i="39"/>
  <c r="E50" i="39"/>
  <c r="D49" i="39"/>
  <c r="D50" i="39"/>
  <c r="C49" i="39"/>
  <c r="C50" i="39"/>
  <c r="J43" i="39"/>
  <c r="I43" i="39"/>
  <c r="H43" i="39"/>
  <c r="G43" i="39"/>
  <c r="E43" i="39"/>
  <c r="D43" i="39"/>
  <c r="C43" i="39"/>
  <c r="J38" i="39"/>
  <c r="I38" i="39"/>
  <c r="H38" i="39"/>
  <c r="G38" i="39"/>
  <c r="F38" i="39"/>
  <c r="E38" i="39"/>
  <c r="D38" i="39"/>
  <c r="C38" i="39"/>
  <c r="J34" i="39"/>
  <c r="I34" i="39"/>
  <c r="H34" i="39"/>
  <c r="G34" i="39"/>
  <c r="F34" i="39"/>
  <c r="E34" i="39"/>
  <c r="D34" i="39"/>
  <c r="C28" i="39"/>
  <c r="D28" i="39"/>
  <c r="A19" i="39"/>
  <c r="F45" i="38"/>
  <c r="J24" i="30"/>
  <c r="I24" i="30"/>
  <c r="H24" i="30"/>
  <c r="B24" i="30"/>
  <c r="B19" i="38"/>
  <c r="B12" i="38"/>
  <c r="B8" i="38"/>
  <c r="E24" i="38"/>
  <c r="B31" i="38"/>
  <c r="J35" i="38"/>
  <c r="J34" i="38"/>
  <c r="J41" i="38"/>
  <c r="J46" i="38"/>
  <c r="J55" i="38"/>
  <c r="J56" i="38"/>
  <c r="J57" i="38"/>
  <c r="I35" i="38"/>
  <c r="I34" i="38"/>
  <c r="I41" i="38"/>
  <c r="I46" i="38"/>
  <c r="I55" i="38"/>
  <c r="I56" i="38"/>
  <c r="I57" i="38"/>
  <c r="H35" i="38"/>
  <c r="H34" i="38"/>
  <c r="H41" i="38"/>
  <c r="H46" i="38"/>
  <c r="H55" i="38"/>
  <c r="H56" i="38"/>
  <c r="H57" i="38"/>
  <c r="G35" i="38"/>
  <c r="G34" i="38"/>
  <c r="G41" i="38"/>
  <c r="G46" i="38"/>
  <c r="G55" i="38"/>
  <c r="G56" i="38"/>
  <c r="G57" i="38"/>
  <c r="E35" i="38"/>
  <c r="E34" i="38"/>
  <c r="E41" i="38"/>
  <c r="E46" i="38"/>
  <c r="E55" i="38"/>
  <c r="E56" i="38"/>
  <c r="E57" i="38"/>
  <c r="D35" i="38"/>
  <c r="D34" i="38"/>
  <c r="D41" i="38"/>
  <c r="D46" i="38"/>
  <c r="D55" i="38"/>
  <c r="D56" i="38"/>
  <c r="D57" i="38"/>
  <c r="C41" i="38"/>
  <c r="C46" i="38"/>
  <c r="C57" i="38"/>
  <c r="I51" i="38"/>
  <c r="I52" i="38"/>
  <c r="H51" i="38"/>
  <c r="H52" i="38"/>
  <c r="G51" i="38"/>
  <c r="G52" i="38"/>
  <c r="F51" i="38"/>
  <c r="F52" i="38"/>
  <c r="E51" i="38"/>
  <c r="E52" i="38"/>
  <c r="D51" i="38"/>
  <c r="D52" i="38"/>
  <c r="C51" i="38"/>
  <c r="C52" i="38"/>
  <c r="J45" i="38"/>
  <c r="I45" i="38"/>
  <c r="H45" i="38"/>
  <c r="G45" i="38"/>
  <c r="E45" i="38"/>
  <c r="D45" i="38"/>
  <c r="C45" i="38"/>
  <c r="J40" i="38"/>
  <c r="I40" i="38"/>
  <c r="H40" i="38"/>
  <c r="G40" i="38"/>
  <c r="F40" i="38"/>
  <c r="E40" i="38"/>
  <c r="D40" i="38"/>
  <c r="C40" i="38"/>
  <c r="J36" i="38"/>
  <c r="I36" i="38"/>
  <c r="H36" i="38"/>
  <c r="G36" i="38"/>
  <c r="F36" i="38"/>
  <c r="E36" i="38"/>
  <c r="D36" i="38"/>
  <c r="C30" i="38"/>
  <c r="D30" i="38"/>
  <c r="A21" i="38"/>
  <c r="D17" i="35"/>
  <c r="C25" i="35"/>
  <c r="D25" i="35"/>
  <c r="B75" i="35"/>
  <c r="J47" i="35"/>
  <c r="J48" i="35"/>
  <c r="B76" i="35"/>
  <c r="F51" i="35"/>
  <c r="F52" i="35"/>
  <c r="B77" i="35"/>
  <c r="B78" i="35"/>
  <c r="D27" i="35"/>
  <c r="C27" i="35"/>
  <c r="C30" i="35"/>
  <c r="C51" i="35"/>
  <c r="C52" i="35"/>
  <c r="F31" i="35"/>
  <c r="F30" i="35"/>
  <c r="F37" i="35"/>
  <c r="F42" i="35"/>
  <c r="F53" i="35"/>
  <c r="B71" i="35"/>
  <c r="B70" i="35"/>
  <c r="B72" i="35"/>
  <c r="B63" i="35"/>
  <c r="B64" i="35"/>
  <c r="B65" i="35"/>
  <c r="B59" i="35"/>
  <c r="B58" i="35"/>
  <c r="J31" i="35"/>
  <c r="I31" i="35"/>
  <c r="H31" i="35"/>
  <c r="G31" i="35"/>
  <c r="E31" i="35"/>
  <c r="D31" i="35"/>
  <c r="C31" i="35"/>
  <c r="C6" i="37"/>
  <c r="D6" i="37"/>
  <c r="C7" i="37"/>
  <c r="D7" i="37"/>
  <c r="C8" i="37"/>
  <c r="D8" i="37"/>
  <c r="C9" i="37"/>
  <c r="D9" i="37"/>
  <c r="D10" i="37"/>
  <c r="D11" i="37"/>
  <c r="C19" i="37"/>
  <c r="D19" i="37"/>
  <c r="B69" i="37"/>
  <c r="R41" i="37"/>
  <c r="R42" i="37"/>
  <c r="B70" i="37"/>
  <c r="J45" i="37"/>
  <c r="J46" i="37"/>
  <c r="B71" i="37"/>
  <c r="B72" i="37"/>
  <c r="N33" i="30"/>
  <c r="B64" i="37"/>
  <c r="B65" i="37"/>
  <c r="B66" i="37"/>
  <c r="M33" i="30"/>
  <c r="B57" i="37"/>
  <c r="D21" i="37"/>
  <c r="C21" i="37"/>
  <c r="C24" i="37"/>
  <c r="C45" i="37"/>
  <c r="C46" i="37"/>
  <c r="J25" i="37"/>
  <c r="J24" i="37"/>
  <c r="J31" i="37"/>
  <c r="J36" i="37"/>
  <c r="J47" i="37"/>
  <c r="B58" i="37"/>
  <c r="B59" i="37"/>
  <c r="L33" i="30"/>
  <c r="B52" i="37"/>
  <c r="B53" i="37"/>
  <c r="B54" i="37"/>
  <c r="K33" i="30"/>
  <c r="J35" i="37"/>
  <c r="J33" i="30"/>
  <c r="C6" i="17"/>
  <c r="D6" i="17"/>
  <c r="C7" i="17"/>
  <c r="D7" i="17"/>
  <c r="C8" i="17"/>
  <c r="D8" i="17"/>
  <c r="C9" i="17"/>
  <c r="D9" i="17"/>
  <c r="C10" i="17"/>
  <c r="D10" i="17"/>
  <c r="C11" i="17"/>
  <c r="D11" i="17"/>
  <c r="C12" i="17"/>
  <c r="D12" i="17"/>
  <c r="C13" i="17"/>
  <c r="D13" i="17"/>
  <c r="D14" i="17"/>
  <c r="D15" i="17"/>
  <c r="C23" i="17"/>
  <c r="D23" i="17"/>
  <c r="D25" i="17"/>
  <c r="C25" i="17"/>
  <c r="C28" i="17"/>
  <c r="C49" i="17"/>
  <c r="C50" i="17"/>
  <c r="J29" i="17"/>
  <c r="J28" i="17"/>
  <c r="J35" i="17"/>
  <c r="J40" i="17"/>
  <c r="B57" i="17"/>
  <c r="E14" i="37"/>
  <c r="J41" i="37"/>
  <c r="J42" i="37"/>
  <c r="B21" i="37"/>
  <c r="B25" i="37"/>
  <c r="F25" i="37"/>
  <c r="F24" i="37"/>
  <c r="F31" i="37"/>
  <c r="F36" i="37"/>
  <c r="E18" i="17"/>
  <c r="B6" i="17"/>
  <c r="B7" i="17"/>
  <c r="B8" i="17"/>
  <c r="B9" i="17"/>
  <c r="B10" i="17"/>
  <c r="B11" i="17"/>
  <c r="B12" i="17"/>
  <c r="C45" i="17"/>
  <c r="C46" i="17"/>
  <c r="I33" i="30"/>
  <c r="H33" i="30"/>
  <c r="F33" i="30"/>
  <c r="E33" i="30"/>
  <c r="C25" i="37"/>
  <c r="D33" i="30"/>
  <c r="C26" i="37"/>
  <c r="C33" i="30"/>
  <c r="B33" i="30"/>
  <c r="K24" i="37"/>
  <c r="L24" i="37"/>
  <c r="M24" i="37"/>
  <c r="N24" i="37"/>
  <c r="O24" i="37"/>
  <c r="P24" i="37"/>
  <c r="Q24" i="37"/>
  <c r="R24" i="37"/>
  <c r="K25" i="37"/>
  <c r="L25" i="37"/>
  <c r="M25" i="37"/>
  <c r="N25" i="37"/>
  <c r="O25" i="37"/>
  <c r="P25" i="37"/>
  <c r="Q25" i="37"/>
  <c r="R25" i="37"/>
  <c r="K26" i="37"/>
  <c r="L26" i="37"/>
  <c r="M26" i="37"/>
  <c r="N26" i="37"/>
  <c r="O26" i="37"/>
  <c r="P26" i="37"/>
  <c r="Q26" i="37"/>
  <c r="R26" i="37"/>
  <c r="K30" i="37"/>
  <c r="L30" i="37"/>
  <c r="M30" i="37"/>
  <c r="N30" i="37"/>
  <c r="O30" i="37"/>
  <c r="P30" i="37"/>
  <c r="Q30" i="37"/>
  <c r="R30" i="37"/>
  <c r="K31" i="37"/>
  <c r="L31" i="37"/>
  <c r="M31" i="37"/>
  <c r="N31" i="37"/>
  <c r="O31" i="37"/>
  <c r="P31" i="37"/>
  <c r="Q31" i="37"/>
  <c r="R31" i="37"/>
  <c r="K35" i="37"/>
  <c r="L35" i="37"/>
  <c r="M35" i="37"/>
  <c r="N35" i="37"/>
  <c r="O35" i="37"/>
  <c r="P35" i="37"/>
  <c r="Q35" i="37"/>
  <c r="R35" i="37"/>
  <c r="K36" i="37"/>
  <c r="L36" i="37"/>
  <c r="M36" i="37"/>
  <c r="N36" i="37"/>
  <c r="O36" i="37"/>
  <c r="P36" i="37"/>
  <c r="Q36" i="37"/>
  <c r="R36" i="37"/>
  <c r="K41" i="37"/>
  <c r="L41" i="37"/>
  <c r="M41" i="37"/>
  <c r="N41" i="37"/>
  <c r="O41" i="37"/>
  <c r="P41" i="37"/>
  <c r="Q41" i="37"/>
  <c r="K42" i="37"/>
  <c r="L42" i="37"/>
  <c r="M42" i="37"/>
  <c r="N42" i="37"/>
  <c r="O42" i="37"/>
  <c r="P42" i="37"/>
  <c r="Q42" i="37"/>
  <c r="K45" i="37"/>
  <c r="L45" i="37"/>
  <c r="M45" i="37"/>
  <c r="N45" i="37"/>
  <c r="O45" i="37"/>
  <c r="P45" i="37"/>
  <c r="Q45" i="37"/>
  <c r="R45" i="37"/>
  <c r="K46" i="37"/>
  <c r="L46" i="37"/>
  <c r="M46" i="37"/>
  <c r="N46" i="37"/>
  <c r="O46" i="37"/>
  <c r="P46" i="37"/>
  <c r="Q46" i="37"/>
  <c r="R46" i="37"/>
  <c r="K47" i="37"/>
  <c r="L47" i="37"/>
  <c r="M47" i="37"/>
  <c r="N47" i="37"/>
  <c r="O47" i="37"/>
  <c r="P47" i="37"/>
  <c r="Q47" i="37"/>
  <c r="R47" i="37"/>
  <c r="C26" i="26"/>
  <c r="C47" i="26"/>
  <c r="C48" i="26"/>
  <c r="F27" i="26"/>
  <c r="E27" i="26"/>
  <c r="D27" i="26"/>
  <c r="C27" i="26"/>
  <c r="D22" i="19"/>
  <c r="D24" i="19"/>
  <c r="C24" i="19"/>
  <c r="C27" i="19"/>
  <c r="C48" i="19"/>
  <c r="C49" i="19"/>
  <c r="AP28" i="19"/>
  <c r="AO28" i="19"/>
  <c r="AN28" i="19"/>
  <c r="AM28" i="19"/>
  <c r="AL28" i="19"/>
  <c r="AK28" i="19"/>
  <c r="AJ28" i="19"/>
  <c r="AI28" i="19"/>
  <c r="AH28" i="19"/>
  <c r="AG28" i="19"/>
  <c r="AF28" i="19"/>
  <c r="AE28" i="19"/>
  <c r="AD28" i="19"/>
  <c r="AC28" i="19"/>
  <c r="AB28" i="19"/>
  <c r="AA28" i="19"/>
  <c r="Z28" i="19"/>
  <c r="Y28" i="19"/>
  <c r="X28" i="19"/>
  <c r="W28" i="19"/>
  <c r="V28" i="19"/>
  <c r="U28" i="19"/>
  <c r="T28" i="19"/>
  <c r="S28" i="19"/>
  <c r="R28" i="19"/>
  <c r="Q28" i="19"/>
  <c r="P28" i="19"/>
  <c r="O28" i="19"/>
  <c r="N28" i="19"/>
  <c r="M28" i="19"/>
  <c r="L28" i="19"/>
  <c r="K28" i="19"/>
  <c r="J28" i="19"/>
  <c r="I28" i="19"/>
  <c r="H28" i="19"/>
  <c r="G28" i="19"/>
  <c r="F28" i="19"/>
  <c r="E28" i="19"/>
  <c r="D28" i="19"/>
  <c r="C28" i="19"/>
  <c r="C6" i="22"/>
  <c r="D6" i="22"/>
  <c r="C7" i="22"/>
  <c r="D7" i="22"/>
  <c r="C8" i="22"/>
  <c r="D8" i="22"/>
  <c r="C9" i="22"/>
  <c r="D9" i="22"/>
  <c r="C10" i="22"/>
  <c r="D10" i="22"/>
  <c r="C11" i="22"/>
  <c r="D11" i="22"/>
  <c r="C12" i="22"/>
  <c r="D12" i="22"/>
  <c r="C13" i="22"/>
  <c r="D13" i="22"/>
  <c r="C14" i="22"/>
  <c r="D14" i="22"/>
  <c r="D15" i="22"/>
  <c r="D16" i="22"/>
  <c r="C24" i="22"/>
  <c r="D24" i="22"/>
  <c r="D26" i="22"/>
  <c r="C26" i="22"/>
  <c r="C29" i="22"/>
  <c r="C50" i="22"/>
  <c r="C51" i="22"/>
  <c r="J30" i="22"/>
  <c r="I30" i="22"/>
  <c r="H30" i="22"/>
  <c r="G30" i="22"/>
  <c r="F30" i="22"/>
  <c r="E30" i="22"/>
  <c r="D30" i="22"/>
  <c r="C30" i="22"/>
  <c r="B25" i="17"/>
  <c r="B29" i="17"/>
  <c r="R29" i="17"/>
  <c r="Q29" i="17"/>
  <c r="P29" i="17"/>
  <c r="O29" i="17"/>
  <c r="N29" i="17"/>
  <c r="M29" i="17"/>
  <c r="L29" i="17"/>
  <c r="K29" i="17"/>
  <c r="I29" i="17"/>
  <c r="H29" i="17"/>
  <c r="G29" i="17"/>
  <c r="F29" i="17"/>
  <c r="E29" i="17"/>
  <c r="D29" i="17"/>
  <c r="C29" i="17"/>
  <c r="J41" i="36"/>
  <c r="I41" i="36"/>
  <c r="H41" i="36"/>
  <c r="G41" i="36"/>
  <c r="E41" i="36"/>
  <c r="D41" i="36"/>
  <c r="J33" i="32"/>
  <c r="I33" i="32"/>
  <c r="H33" i="32"/>
  <c r="G33" i="32"/>
  <c r="E33" i="32"/>
  <c r="D33" i="32"/>
  <c r="J33" i="31"/>
  <c r="I33" i="31"/>
  <c r="H33" i="31"/>
  <c r="G33" i="31"/>
  <c r="E33" i="31"/>
  <c r="D33" i="31"/>
  <c r="J30" i="23"/>
  <c r="I30" i="23"/>
  <c r="H30" i="23"/>
  <c r="G30" i="23"/>
  <c r="E30" i="23"/>
  <c r="D30" i="23"/>
  <c r="J32" i="13"/>
  <c r="I32" i="13"/>
  <c r="H32" i="13"/>
  <c r="G32" i="13"/>
  <c r="E32" i="13"/>
  <c r="D32" i="13"/>
  <c r="J31" i="29"/>
  <c r="I31" i="29"/>
  <c r="H31" i="29"/>
  <c r="G31" i="29"/>
  <c r="E31" i="29"/>
  <c r="D31" i="29"/>
  <c r="H29" i="14"/>
  <c r="E29" i="14"/>
  <c r="J29" i="14"/>
  <c r="I29" i="14"/>
  <c r="G29" i="14"/>
  <c r="D29" i="14"/>
  <c r="J32" i="21"/>
  <c r="I32" i="21"/>
  <c r="H32" i="21"/>
  <c r="G32" i="21"/>
  <c r="E32" i="21"/>
  <c r="D32" i="21"/>
  <c r="J32" i="28"/>
  <c r="I32" i="28"/>
  <c r="H32" i="28"/>
  <c r="G32" i="28"/>
  <c r="E32" i="28"/>
  <c r="D32" i="28"/>
  <c r="D31" i="28"/>
  <c r="J31" i="28"/>
  <c r="I31" i="28"/>
  <c r="H31" i="28"/>
  <c r="G31" i="28"/>
  <c r="E31" i="28"/>
  <c r="I25" i="37"/>
  <c r="H25" i="37"/>
  <c r="G25" i="37"/>
  <c r="E25" i="37"/>
  <c r="D25" i="37"/>
  <c r="J31" i="24"/>
  <c r="I31" i="24"/>
  <c r="H31" i="24"/>
  <c r="G31" i="24"/>
  <c r="E31" i="24"/>
  <c r="D31" i="24"/>
  <c r="J29" i="33"/>
  <c r="I29" i="33"/>
  <c r="H29" i="33"/>
  <c r="G29" i="33"/>
  <c r="E29" i="33"/>
  <c r="D29" i="33"/>
  <c r="C41" i="37"/>
  <c r="C31" i="37"/>
  <c r="C36" i="37"/>
  <c r="C47" i="37"/>
  <c r="F45" i="37"/>
  <c r="F46" i="37"/>
  <c r="F47" i="37"/>
  <c r="I24" i="37"/>
  <c r="I31" i="37"/>
  <c r="I36" i="37"/>
  <c r="I45" i="37"/>
  <c r="I46" i="37"/>
  <c r="I47" i="37"/>
  <c r="H24" i="37"/>
  <c r="H31" i="37"/>
  <c r="H36" i="37"/>
  <c r="H45" i="37"/>
  <c r="H46" i="37"/>
  <c r="H47" i="37"/>
  <c r="G24" i="37"/>
  <c r="G31" i="37"/>
  <c r="G36" i="37"/>
  <c r="G45" i="37"/>
  <c r="G46" i="37"/>
  <c r="G47" i="37"/>
  <c r="E24" i="37"/>
  <c r="E31" i="37"/>
  <c r="E36" i="37"/>
  <c r="E45" i="37"/>
  <c r="E46" i="37"/>
  <c r="E47" i="37"/>
  <c r="D24" i="37"/>
  <c r="D31" i="37"/>
  <c r="D36" i="37"/>
  <c r="D45" i="37"/>
  <c r="D46" i="37"/>
  <c r="D47" i="37"/>
  <c r="I41" i="37"/>
  <c r="I42" i="37"/>
  <c r="H41" i="37"/>
  <c r="H42" i="37"/>
  <c r="G41" i="37"/>
  <c r="G42" i="37"/>
  <c r="F41" i="37"/>
  <c r="F42" i="37"/>
  <c r="E41" i="37"/>
  <c r="E42" i="37"/>
  <c r="D41" i="37"/>
  <c r="D42" i="37"/>
  <c r="C42" i="37"/>
  <c r="I35" i="37"/>
  <c r="H35" i="37"/>
  <c r="G35" i="37"/>
  <c r="F35" i="37"/>
  <c r="E35" i="37"/>
  <c r="D35" i="37"/>
  <c r="C35" i="37"/>
  <c r="J30" i="37"/>
  <c r="I30" i="37"/>
  <c r="H30" i="37"/>
  <c r="G30" i="37"/>
  <c r="F30" i="37"/>
  <c r="E30" i="37"/>
  <c r="D30" i="37"/>
  <c r="C30" i="37"/>
  <c r="J26" i="37"/>
  <c r="I26" i="37"/>
  <c r="H26" i="37"/>
  <c r="G26" i="37"/>
  <c r="F26" i="37"/>
  <c r="E26" i="37"/>
  <c r="D26" i="37"/>
  <c r="C20" i="37"/>
  <c r="D20" i="37"/>
  <c r="A11" i="37"/>
  <c r="E20" i="35"/>
  <c r="B24" i="36"/>
  <c r="E30" i="36"/>
  <c r="B10" i="36"/>
  <c r="B25" i="36"/>
  <c r="B37" i="36"/>
  <c r="F51" i="36"/>
  <c r="J23" i="30"/>
  <c r="I23" i="30"/>
  <c r="H23" i="30"/>
  <c r="B23" i="30"/>
  <c r="B21" i="30"/>
  <c r="D40" i="36"/>
  <c r="J40" i="36"/>
  <c r="J47" i="36"/>
  <c r="J52" i="36"/>
  <c r="J61" i="36"/>
  <c r="J62" i="36"/>
  <c r="J63" i="36"/>
  <c r="I40" i="36"/>
  <c r="I47" i="36"/>
  <c r="I52" i="36"/>
  <c r="I61" i="36"/>
  <c r="I62" i="36"/>
  <c r="I63" i="36"/>
  <c r="H40" i="36"/>
  <c r="H47" i="36"/>
  <c r="H52" i="36"/>
  <c r="H61" i="36"/>
  <c r="H62" i="36"/>
  <c r="H63" i="36"/>
  <c r="G40" i="36"/>
  <c r="G47" i="36"/>
  <c r="G52" i="36"/>
  <c r="G61" i="36"/>
  <c r="G62" i="36"/>
  <c r="G63" i="36"/>
  <c r="E40" i="36"/>
  <c r="E47" i="36"/>
  <c r="E52" i="36"/>
  <c r="E61" i="36"/>
  <c r="E62" i="36"/>
  <c r="E63" i="36"/>
  <c r="D47" i="36"/>
  <c r="D52" i="36"/>
  <c r="D61" i="36"/>
  <c r="D62" i="36"/>
  <c r="D63" i="36"/>
  <c r="C47" i="36"/>
  <c r="C52" i="36"/>
  <c r="C63" i="36"/>
  <c r="I57" i="36"/>
  <c r="I58" i="36"/>
  <c r="H57" i="36"/>
  <c r="H58" i="36"/>
  <c r="G57" i="36"/>
  <c r="G58" i="36"/>
  <c r="F57" i="36"/>
  <c r="F58" i="36"/>
  <c r="E57" i="36"/>
  <c r="E58" i="36"/>
  <c r="D57" i="36"/>
  <c r="D58" i="36"/>
  <c r="C57" i="36"/>
  <c r="C58" i="36"/>
  <c r="J51" i="36"/>
  <c r="I51" i="36"/>
  <c r="H51" i="36"/>
  <c r="G51" i="36"/>
  <c r="E51" i="36"/>
  <c r="D51" i="36"/>
  <c r="C51" i="36"/>
  <c r="J46" i="36"/>
  <c r="I46" i="36"/>
  <c r="H46" i="36"/>
  <c r="G46" i="36"/>
  <c r="F46" i="36"/>
  <c r="E46" i="36"/>
  <c r="D46" i="36"/>
  <c r="C46" i="36"/>
  <c r="J42" i="36"/>
  <c r="I42" i="36"/>
  <c r="H42" i="36"/>
  <c r="G42" i="36"/>
  <c r="F42" i="36"/>
  <c r="E42" i="36"/>
  <c r="D42" i="36"/>
  <c r="C36" i="36"/>
  <c r="D36" i="36"/>
  <c r="A27" i="36"/>
  <c r="B27" i="35"/>
  <c r="C6" i="35"/>
  <c r="D6" i="35"/>
  <c r="C7" i="35"/>
  <c r="D7" i="35"/>
  <c r="C8" i="35"/>
  <c r="D8" i="35"/>
  <c r="C9" i="35"/>
  <c r="D9" i="35"/>
  <c r="C10" i="35"/>
  <c r="D10" i="35"/>
  <c r="C11" i="35"/>
  <c r="D11" i="35"/>
  <c r="C12" i="35"/>
  <c r="D12" i="35"/>
  <c r="C13" i="35"/>
  <c r="D13" i="35"/>
  <c r="C14" i="35"/>
  <c r="D14" i="35"/>
  <c r="C15" i="35"/>
  <c r="D15" i="35"/>
  <c r="D16" i="35"/>
  <c r="B60" i="35"/>
  <c r="J30" i="35"/>
  <c r="J37" i="35"/>
  <c r="J42" i="35"/>
  <c r="J51" i="35"/>
  <c r="J52" i="35"/>
  <c r="J53" i="35"/>
  <c r="I30" i="35"/>
  <c r="I37" i="35"/>
  <c r="I42" i="35"/>
  <c r="I51" i="35"/>
  <c r="I52" i="35"/>
  <c r="I53" i="35"/>
  <c r="H30" i="35"/>
  <c r="H37" i="35"/>
  <c r="H42" i="35"/>
  <c r="H51" i="35"/>
  <c r="H52" i="35"/>
  <c r="H53" i="35"/>
  <c r="G30" i="35"/>
  <c r="G37" i="35"/>
  <c r="G42" i="35"/>
  <c r="G51" i="35"/>
  <c r="G52" i="35"/>
  <c r="G53" i="35"/>
  <c r="E30" i="35"/>
  <c r="E37" i="35"/>
  <c r="E42" i="35"/>
  <c r="E51" i="35"/>
  <c r="E52" i="35"/>
  <c r="E53" i="35"/>
  <c r="D30" i="35"/>
  <c r="D37" i="35"/>
  <c r="D42" i="35"/>
  <c r="D51" i="35"/>
  <c r="D52" i="35"/>
  <c r="D53" i="35"/>
  <c r="C37" i="35"/>
  <c r="C42" i="35"/>
  <c r="C53" i="35"/>
  <c r="I47" i="35"/>
  <c r="I48" i="35"/>
  <c r="H47" i="35"/>
  <c r="H48" i="35"/>
  <c r="G47" i="35"/>
  <c r="G48" i="35"/>
  <c r="F47" i="35"/>
  <c r="F48" i="35"/>
  <c r="E47" i="35"/>
  <c r="E48" i="35"/>
  <c r="D47" i="35"/>
  <c r="D48" i="35"/>
  <c r="C47" i="35"/>
  <c r="C48" i="35"/>
  <c r="J41" i="35"/>
  <c r="I41" i="35"/>
  <c r="H41" i="35"/>
  <c r="G41" i="35"/>
  <c r="F41" i="35"/>
  <c r="E41" i="35"/>
  <c r="D41" i="35"/>
  <c r="C41" i="35"/>
  <c r="J36" i="35"/>
  <c r="I36" i="35"/>
  <c r="H36" i="35"/>
  <c r="G36" i="35"/>
  <c r="F36" i="35"/>
  <c r="E36" i="35"/>
  <c r="D36" i="35"/>
  <c r="C36" i="35"/>
  <c r="J32" i="35"/>
  <c r="I32" i="35"/>
  <c r="H32" i="35"/>
  <c r="G32" i="35"/>
  <c r="F32" i="35"/>
  <c r="E32" i="35"/>
  <c r="D32" i="35"/>
  <c r="C32" i="35"/>
  <c r="C26" i="35"/>
  <c r="D26" i="35"/>
  <c r="A17" i="35"/>
  <c r="E20" i="24"/>
  <c r="B6" i="24"/>
  <c r="B7" i="24"/>
  <c r="B8" i="24"/>
  <c r="B10" i="24"/>
  <c r="B11" i="24"/>
  <c r="B12" i="24"/>
  <c r="B13" i="24"/>
  <c r="B14" i="24"/>
  <c r="B27" i="24"/>
  <c r="C26" i="24"/>
  <c r="D26" i="24"/>
  <c r="E18" i="33"/>
  <c r="B10" i="33"/>
  <c r="B25" i="33"/>
  <c r="F43" i="26"/>
  <c r="F44" i="26"/>
  <c r="B59" i="26"/>
  <c r="D26" i="26"/>
  <c r="D33" i="26"/>
  <c r="D38" i="26"/>
  <c r="D47" i="26"/>
  <c r="D48" i="26"/>
  <c r="D49" i="26"/>
  <c r="B60" i="26"/>
  <c r="B61" i="26"/>
  <c r="L43" i="30"/>
  <c r="L45" i="30"/>
  <c r="B66" i="26"/>
  <c r="B67" i="26"/>
  <c r="B68" i="26"/>
  <c r="M43" i="30"/>
  <c r="M45" i="30"/>
  <c r="B71" i="26"/>
  <c r="B72" i="26"/>
  <c r="B73" i="26"/>
  <c r="B74" i="26"/>
  <c r="N43" i="30"/>
  <c r="N45" i="30"/>
  <c r="B54" i="26"/>
  <c r="B55" i="26"/>
  <c r="B56" i="26"/>
  <c r="K43" i="30"/>
  <c r="K45" i="30"/>
  <c r="D43" i="30"/>
  <c r="D45" i="30"/>
  <c r="E43" i="30"/>
  <c r="E45" i="30"/>
  <c r="F43" i="30"/>
  <c r="F45" i="30"/>
  <c r="C28" i="26"/>
  <c r="C43" i="30"/>
  <c r="C45" i="30"/>
  <c r="R45" i="17"/>
  <c r="R46" i="17"/>
  <c r="B61" i="17"/>
  <c r="J49" i="17"/>
  <c r="J50" i="17"/>
  <c r="J51" i="17"/>
  <c r="B62" i="17"/>
  <c r="B63" i="17"/>
  <c r="L34" i="30"/>
  <c r="J46" i="22"/>
  <c r="J47" i="22"/>
  <c r="B62" i="22"/>
  <c r="F29" i="22"/>
  <c r="F36" i="22"/>
  <c r="F41" i="22"/>
  <c r="F50" i="22"/>
  <c r="F51" i="22"/>
  <c r="F52" i="22"/>
  <c r="B63" i="22"/>
  <c r="B64" i="22"/>
  <c r="L35" i="30"/>
  <c r="AP44" i="19"/>
  <c r="AP45" i="19"/>
  <c r="B60" i="19"/>
  <c r="V27" i="19"/>
  <c r="V34" i="19"/>
  <c r="V39" i="19"/>
  <c r="V48" i="19"/>
  <c r="V49" i="19"/>
  <c r="V50" i="19"/>
  <c r="B61" i="19"/>
  <c r="B62" i="19"/>
  <c r="L32" i="30"/>
  <c r="L37" i="30"/>
  <c r="B68" i="17"/>
  <c r="B69" i="17"/>
  <c r="B70" i="17"/>
  <c r="M34" i="30"/>
  <c r="B69" i="22"/>
  <c r="B70" i="22"/>
  <c r="B71" i="22"/>
  <c r="M35" i="30"/>
  <c r="B67" i="19"/>
  <c r="B68" i="19"/>
  <c r="B69" i="19"/>
  <c r="M32" i="30"/>
  <c r="M37" i="30"/>
  <c r="B73" i="17"/>
  <c r="B74" i="17"/>
  <c r="B75" i="17"/>
  <c r="B76" i="17"/>
  <c r="N34" i="30"/>
  <c r="B74" i="22"/>
  <c r="B75" i="22"/>
  <c r="B76" i="22"/>
  <c r="B77" i="22"/>
  <c r="N35" i="30"/>
  <c r="B72" i="19"/>
  <c r="B73" i="19"/>
  <c r="B74" i="19"/>
  <c r="B75" i="19"/>
  <c r="N32" i="30"/>
  <c r="N37" i="30"/>
  <c r="B56" i="17"/>
  <c r="B58" i="17"/>
  <c r="K34" i="30"/>
  <c r="B57" i="22"/>
  <c r="B58" i="22"/>
  <c r="B59" i="22"/>
  <c r="K35" i="30"/>
  <c r="B55" i="19"/>
  <c r="B56" i="19"/>
  <c r="B57" i="19"/>
  <c r="K32" i="30"/>
  <c r="K37" i="30"/>
  <c r="D34" i="30"/>
  <c r="D35" i="30"/>
  <c r="D32" i="30"/>
  <c r="D37" i="30"/>
  <c r="E34" i="30"/>
  <c r="E35" i="30"/>
  <c r="E32" i="30"/>
  <c r="E37" i="30"/>
  <c r="F34" i="30"/>
  <c r="F35" i="30"/>
  <c r="F32" i="30"/>
  <c r="F37" i="30"/>
  <c r="C30" i="17"/>
  <c r="C34" i="30"/>
  <c r="C31" i="22"/>
  <c r="C35" i="30"/>
  <c r="C29" i="19"/>
  <c r="C32" i="30"/>
  <c r="C37" i="30"/>
  <c r="E16" i="26"/>
  <c r="B6" i="26"/>
  <c r="B7" i="26"/>
  <c r="B8" i="26"/>
  <c r="B9" i="26"/>
  <c r="B10" i="26"/>
  <c r="B11" i="26"/>
  <c r="B23" i="26"/>
  <c r="F26" i="26"/>
  <c r="B27" i="26"/>
  <c r="F28" i="26"/>
  <c r="F32" i="26"/>
  <c r="F33" i="26"/>
  <c r="F37" i="26"/>
  <c r="F38" i="26"/>
  <c r="F47" i="26"/>
  <c r="F48" i="26"/>
  <c r="F49" i="26"/>
  <c r="E17" i="19"/>
  <c r="B10" i="19"/>
  <c r="B11" i="19"/>
  <c r="B12" i="19"/>
  <c r="B24" i="19"/>
  <c r="B28" i="19"/>
  <c r="AA27" i="19"/>
  <c r="AB27" i="19"/>
  <c r="AC27" i="19"/>
  <c r="AD27" i="19"/>
  <c r="AE27" i="19"/>
  <c r="AF27" i="19"/>
  <c r="AG27" i="19"/>
  <c r="AH27" i="19"/>
  <c r="AI27" i="19"/>
  <c r="AJ27" i="19"/>
  <c r="AK27" i="19"/>
  <c r="AL27" i="19"/>
  <c r="AM27" i="19"/>
  <c r="AN27" i="19"/>
  <c r="AO27" i="19"/>
  <c r="AP27" i="19"/>
  <c r="AA29" i="19"/>
  <c r="AB29" i="19"/>
  <c r="AC29" i="19"/>
  <c r="AD29" i="19"/>
  <c r="AE29" i="19"/>
  <c r="AF29" i="19"/>
  <c r="AG29" i="19"/>
  <c r="AH29" i="19"/>
  <c r="AI29" i="19"/>
  <c r="AJ29" i="19"/>
  <c r="AK29" i="19"/>
  <c r="AL29" i="19"/>
  <c r="AM29" i="19"/>
  <c r="AN29" i="19"/>
  <c r="AO29" i="19"/>
  <c r="AP29" i="19"/>
  <c r="AA33" i="19"/>
  <c r="AB33" i="19"/>
  <c r="AC33" i="19"/>
  <c r="AD33" i="19"/>
  <c r="AE33" i="19"/>
  <c r="AF33" i="19"/>
  <c r="AG33" i="19"/>
  <c r="AH33" i="19"/>
  <c r="AI33" i="19"/>
  <c r="AJ33" i="19"/>
  <c r="AK33" i="19"/>
  <c r="AL33" i="19"/>
  <c r="AM33" i="19"/>
  <c r="AN33" i="19"/>
  <c r="AO33" i="19"/>
  <c r="AP33" i="19"/>
  <c r="AA34" i="19"/>
  <c r="AB34" i="19"/>
  <c r="AC34" i="19"/>
  <c r="AD34" i="19"/>
  <c r="AE34" i="19"/>
  <c r="AF34" i="19"/>
  <c r="AG34" i="19"/>
  <c r="AH34" i="19"/>
  <c r="AI34" i="19"/>
  <c r="AJ34" i="19"/>
  <c r="AK34" i="19"/>
  <c r="AL34" i="19"/>
  <c r="AM34" i="19"/>
  <c r="AN34" i="19"/>
  <c r="AO34" i="19"/>
  <c r="AP34" i="19"/>
  <c r="AA38" i="19"/>
  <c r="AB38" i="19"/>
  <c r="AC38" i="19"/>
  <c r="AD38" i="19"/>
  <c r="AE38" i="19"/>
  <c r="AF38" i="19"/>
  <c r="AG38" i="19"/>
  <c r="AH38" i="19"/>
  <c r="AI38" i="19"/>
  <c r="AJ38" i="19"/>
  <c r="AK38" i="19"/>
  <c r="AL38" i="19"/>
  <c r="AM38" i="19"/>
  <c r="AN38" i="19"/>
  <c r="AO38" i="19"/>
  <c r="AP38" i="19"/>
  <c r="AA39" i="19"/>
  <c r="AB39" i="19"/>
  <c r="AC39" i="19"/>
  <c r="AD39" i="19"/>
  <c r="AE39" i="19"/>
  <c r="AF39" i="19"/>
  <c r="AG39" i="19"/>
  <c r="AH39" i="19"/>
  <c r="AI39" i="19"/>
  <c r="AJ39" i="19"/>
  <c r="AK39" i="19"/>
  <c r="AL39" i="19"/>
  <c r="AM39" i="19"/>
  <c r="AN39" i="19"/>
  <c r="AO39" i="19"/>
  <c r="AP39" i="19"/>
  <c r="AA44" i="19"/>
  <c r="AB44" i="19"/>
  <c r="AC44" i="19"/>
  <c r="AD44" i="19"/>
  <c r="AE44" i="19"/>
  <c r="AF44" i="19"/>
  <c r="AG44" i="19"/>
  <c r="AH44" i="19"/>
  <c r="AI44" i="19"/>
  <c r="AJ44" i="19"/>
  <c r="AK44" i="19"/>
  <c r="AL44" i="19"/>
  <c r="AM44" i="19"/>
  <c r="AN44" i="19"/>
  <c r="AO44" i="19"/>
  <c r="AA45" i="19"/>
  <c r="AB45" i="19"/>
  <c r="AC45" i="19"/>
  <c r="AD45" i="19"/>
  <c r="AE45" i="19"/>
  <c r="AF45" i="19"/>
  <c r="AG45" i="19"/>
  <c r="AH45" i="19"/>
  <c r="AI45" i="19"/>
  <c r="AJ45" i="19"/>
  <c r="AK45" i="19"/>
  <c r="AL45" i="19"/>
  <c r="AM45" i="19"/>
  <c r="AN45" i="19"/>
  <c r="AO45" i="19"/>
  <c r="AA48" i="19"/>
  <c r="AB48" i="19"/>
  <c r="AC48" i="19"/>
  <c r="AD48" i="19"/>
  <c r="AE48" i="19"/>
  <c r="AF48" i="19"/>
  <c r="AG48" i="19"/>
  <c r="AH48" i="19"/>
  <c r="AI48" i="19"/>
  <c r="AJ48" i="19"/>
  <c r="AK48" i="19"/>
  <c r="AL48" i="19"/>
  <c r="AM48" i="19"/>
  <c r="AN48" i="19"/>
  <c r="AO48" i="19"/>
  <c r="AP48" i="19"/>
  <c r="AA49" i="19"/>
  <c r="AB49" i="19"/>
  <c r="AC49" i="19"/>
  <c r="AD49" i="19"/>
  <c r="AE49" i="19"/>
  <c r="AF49" i="19"/>
  <c r="AG49" i="19"/>
  <c r="AH49" i="19"/>
  <c r="AI49" i="19"/>
  <c r="AJ49" i="19"/>
  <c r="AK49" i="19"/>
  <c r="AL49" i="19"/>
  <c r="AM49" i="19"/>
  <c r="AN49" i="19"/>
  <c r="AO49" i="19"/>
  <c r="AP49" i="19"/>
  <c r="AA50" i="19"/>
  <c r="AB50" i="19"/>
  <c r="AC50" i="19"/>
  <c r="AD50" i="19"/>
  <c r="AE50" i="19"/>
  <c r="AF50" i="19"/>
  <c r="AG50" i="19"/>
  <c r="AH50" i="19"/>
  <c r="AI50" i="19"/>
  <c r="AJ50" i="19"/>
  <c r="AK50" i="19"/>
  <c r="AL50" i="19"/>
  <c r="AM50" i="19"/>
  <c r="AN50" i="19"/>
  <c r="AO50" i="19"/>
  <c r="AP50" i="19"/>
  <c r="K45" i="17"/>
  <c r="L45" i="17"/>
  <c r="M45" i="17"/>
  <c r="N45" i="17"/>
  <c r="O45" i="17"/>
  <c r="P45" i="17"/>
  <c r="Q45" i="17"/>
  <c r="K46" i="17"/>
  <c r="L46" i="17"/>
  <c r="M46" i="17"/>
  <c r="N46" i="17"/>
  <c r="O46" i="17"/>
  <c r="P46" i="17"/>
  <c r="Q46" i="17"/>
  <c r="K49" i="17"/>
  <c r="L49" i="17"/>
  <c r="M49" i="17"/>
  <c r="N49" i="17"/>
  <c r="O49" i="17"/>
  <c r="P49" i="17"/>
  <c r="Q49" i="17"/>
  <c r="R49" i="17"/>
  <c r="K50" i="17"/>
  <c r="L50" i="17"/>
  <c r="M50" i="17"/>
  <c r="N50" i="17"/>
  <c r="O50" i="17"/>
  <c r="P50" i="17"/>
  <c r="Q50" i="17"/>
  <c r="R50" i="17"/>
  <c r="K28" i="17"/>
  <c r="K35" i="17"/>
  <c r="K40" i="17"/>
  <c r="K51" i="17"/>
  <c r="L28" i="17"/>
  <c r="L35" i="17"/>
  <c r="L40" i="17"/>
  <c r="L51" i="17"/>
  <c r="M28" i="17"/>
  <c r="M35" i="17"/>
  <c r="M40" i="17"/>
  <c r="M51" i="17"/>
  <c r="N28" i="17"/>
  <c r="N35" i="17"/>
  <c r="N40" i="17"/>
  <c r="N51" i="17"/>
  <c r="O28" i="17"/>
  <c r="O35" i="17"/>
  <c r="O40" i="17"/>
  <c r="O51" i="17"/>
  <c r="P28" i="17"/>
  <c r="P35" i="17"/>
  <c r="P40" i="17"/>
  <c r="P51" i="17"/>
  <c r="Q28" i="17"/>
  <c r="Q35" i="17"/>
  <c r="Q40" i="17"/>
  <c r="Q51" i="17"/>
  <c r="R28" i="17"/>
  <c r="R35" i="17"/>
  <c r="R40" i="17"/>
  <c r="R51" i="17"/>
  <c r="R30" i="17"/>
  <c r="R34" i="17"/>
  <c r="R39" i="17"/>
  <c r="M30" i="17"/>
  <c r="N30" i="17"/>
  <c r="O30" i="17"/>
  <c r="P30" i="17"/>
  <c r="Q30" i="17"/>
  <c r="M34" i="17"/>
  <c r="N34" i="17"/>
  <c r="O34" i="17"/>
  <c r="P34" i="17"/>
  <c r="Q34" i="17"/>
  <c r="M39" i="17"/>
  <c r="N39" i="17"/>
  <c r="O39" i="17"/>
  <c r="P39" i="17"/>
  <c r="Q39" i="17"/>
  <c r="J44" i="19"/>
  <c r="J45" i="19"/>
  <c r="F48" i="19"/>
  <c r="F49" i="19"/>
  <c r="E19" i="22"/>
  <c r="B9" i="22"/>
  <c r="B10" i="22"/>
  <c r="B12" i="22"/>
  <c r="J45" i="17"/>
  <c r="J46" i="17"/>
  <c r="F49" i="17"/>
  <c r="F50" i="17"/>
  <c r="C28" i="31"/>
  <c r="D28" i="31"/>
  <c r="E26" i="26"/>
  <c r="D28" i="26"/>
  <c r="E28" i="26"/>
  <c r="D27" i="19"/>
  <c r="E27" i="19"/>
  <c r="F27" i="19"/>
  <c r="G27" i="19"/>
  <c r="H27" i="19"/>
  <c r="I27" i="19"/>
  <c r="J27" i="19"/>
  <c r="K27" i="19"/>
  <c r="L27" i="19"/>
  <c r="M27" i="19"/>
  <c r="N27" i="19"/>
  <c r="O27" i="19"/>
  <c r="P27" i="19"/>
  <c r="Q27" i="19"/>
  <c r="R27" i="19"/>
  <c r="S27" i="19"/>
  <c r="T27" i="19"/>
  <c r="U27" i="19"/>
  <c r="W27" i="19"/>
  <c r="X27" i="19"/>
  <c r="Y27" i="19"/>
  <c r="Z27" i="19"/>
  <c r="D29" i="19"/>
  <c r="E29" i="19"/>
  <c r="F29" i="19"/>
  <c r="G29" i="19"/>
  <c r="H29" i="19"/>
  <c r="I29" i="19"/>
  <c r="J29" i="19"/>
  <c r="K29" i="19"/>
  <c r="L29" i="19"/>
  <c r="M29" i="19"/>
  <c r="N29" i="19"/>
  <c r="O29" i="19"/>
  <c r="P29" i="19"/>
  <c r="Q29" i="19"/>
  <c r="R29" i="19"/>
  <c r="S29" i="19"/>
  <c r="T29" i="19"/>
  <c r="U29" i="19"/>
  <c r="V29" i="19"/>
  <c r="W29" i="19"/>
  <c r="X29" i="19"/>
  <c r="Y29" i="19"/>
  <c r="Z29" i="19"/>
  <c r="B26" i="22"/>
  <c r="D29" i="22"/>
  <c r="E29" i="22"/>
  <c r="G29" i="22"/>
  <c r="H29" i="22"/>
  <c r="I29" i="22"/>
  <c r="J29" i="22"/>
  <c r="B30" i="22"/>
  <c r="D31" i="22"/>
  <c r="E31" i="22"/>
  <c r="F31" i="22"/>
  <c r="G31" i="22"/>
  <c r="H31" i="22"/>
  <c r="I31" i="22"/>
  <c r="J31" i="22"/>
  <c r="D28" i="17"/>
  <c r="E28" i="17"/>
  <c r="F28" i="17"/>
  <c r="G28" i="17"/>
  <c r="H28" i="17"/>
  <c r="I28" i="17"/>
  <c r="D30" i="17"/>
  <c r="E30" i="17"/>
  <c r="F30" i="17"/>
  <c r="G30" i="17"/>
  <c r="H30" i="17"/>
  <c r="I30" i="17"/>
  <c r="J30" i="17"/>
  <c r="K30" i="17"/>
  <c r="L30" i="17"/>
  <c r="D32" i="32"/>
  <c r="E32" i="32"/>
  <c r="G32" i="32"/>
  <c r="H32" i="32"/>
  <c r="I32" i="32"/>
  <c r="J32" i="32"/>
  <c r="D34" i="32"/>
  <c r="E34" i="32"/>
  <c r="F34" i="32"/>
  <c r="G34" i="32"/>
  <c r="H34" i="32"/>
  <c r="I34" i="32"/>
  <c r="J34" i="32"/>
  <c r="D32" i="31"/>
  <c r="E32" i="31"/>
  <c r="G32" i="31"/>
  <c r="H32" i="31"/>
  <c r="I32" i="31"/>
  <c r="J32" i="31"/>
  <c r="D34" i="31"/>
  <c r="E34" i="31"/>
  <c r="F34" i="31"/>
  <c r="G34" i="31"/>
  <c r="H34" i="31"/>
  <c r="I34" i="31"/>
  <c r="J34" i="31"/>
  <c r="D29" i="23"/>
  <c r="E29" i="23"/>
  <c r="G29" i="23"/>
  <c r="H29" i="23"/>
  <c r="I29" i="23"/>
  <c r="J29" i="23"/>
  <c r="D31" i="23"/>
  <c r="E31" i="23"/>
  <c r="F31" i="23"/>
  <c r="G31" i="23"/>
  <c r="H31" i="23"/>
  <c r="I31" i="23"/>
  <c r="J31" i="23"/>
  <c r="D31" i="13"/>
  <c r="E31" i="13"/>
  <c r="G31" i="13"/>
  <c r="H31" i="13"/>
  <c r="I31" i="13"/>
  <c r="J31" i="13"/>
  <c r="D33" i="13"/>
  <c r="E33" i="13"/>
  <c r="F33" i="13"/>
  <c r="G33" i="13"/>
  <c r="H33" i="13"/>
  <c r="I33" i="13"/>
  <c r="J33" i="13"/>
  <c r="D30" i="29"/>
  <c r="E30" i="29"/>
  <c r="G30" i="29"/>
  <c r="H30" i="29"/>
  <c r="I30" i="29"/>
  <c r="J30" i="29"/>
  <c r="D32" i="29"/>
  <c r="E32" i="29"/>
  <c r="F32" i="29"/>
  <c r="G32" i="29"/>
  <c r="H32" i="29"/>
  <c r="I32" i="29"/>
  <c r="J32" i="29"/>
  <c r="D28" i="14"/>
  <c r="E28" i="14"/>
  <c r="G28" i="14"/>
  <c r="H28" i="14"/>
  <c r="I28" i="14"/>
  <c r="J28" i="14"/>
  <c r="D30" i="14"/>
  <c r="E30" i="14"/>
  <c r="F30" i="14"/>
  <c r="G30" i="14"/>
  <c r="H30" i="14"/>
  <c r="I30" i="14"/>
  <c r="J30" i="14"/>
  <c r="E21" i="21"/>
  <c r="B28" i="21"/>
  <c r="D31" i="21"/>
  <c r="E31" i="21"/>
  <c r="G31" i="21"/>
  <c r="H31" i="21"/>
  <c r="I31" i="21"/>
  <c r="J31" i="21"/>
  <c r="D33" i="21"/>
  <c r="E33" i="21"/>
  <c r="F33" i="21"/>
  <c r="G33" i="21"/>
  <c r="H33" i="21"/>
  <c r="I33" i="21"/>
  <c r="J33" i="21"/>
  <c r="D28" i="33"/>
  <c r="E28" i="33"/>
  <c r="G28" i="33"/>
  <c r="H28" i="33"/>
  <c r="I28" i="33"/>
  <c r="J28" i="33"/>
  <c r="D30" i="33"/>
  <c r="E30" i="33"/>
  <c r="F30" i="33"/>
  <c r="G30" i="33"/>
  <c r="H30" i="33"/>
  <c r="I30" i="33"/>
  <c r="J30" i="33"/>
  <c r="E47" i="26"/>
  <c r="E48" i="26"/>
  <c r="E33" i="26"/>
  <c r="E38" i="26"/>
  <c r="E49" i="26"/>
  <c r="D43" i="26"/>
  <c r="E43" i="26"/>
  <c r="D44" i="26"/>
  <c r="E44" i="26"/>
  <c r="C43" i="26"/>
  <c r="C44" i="26"/>
  <c r="C33" i="26"/>
  <c r="C38" i="26"/>
  <c r="C49" i="26"/>
  <c r="F34" i="19"/>
  <c r="F39" i="19"/>
  <c r="F50" i="19"/>
  <c r="K44" i="19"/>
  <c r="L44" i="19"/>
  <c r="M44" i="19"/>
  <c r="N44" i="19"/>
  <c r="O44" i="19"/>
  <c r="P44" i="19"/>
  <c r="Q44" i="19"/>
  <c r="R44" i="19"/>
  <c r="S44" i="19"/>
  <c r="T44" i="19"/>
  <c r="U44" i="19"/>
  <c r="V44" i="19"/>
  <c r="W44" i="19"/>
  <c r="X44" i="19"/>
  <c r="Y44" i="19"/>
  <c r="Z44" i="19"/>
  <c r="K45" i="19"/>
  <c r="L45" i="19"/>
  <c r="M45" i="19"/>
  <c r="N45" i="19"/>
  <c r="O45" i="19"/>
  <c r="P45" i="19"/>
  <c r="Q45" i="19"/>
  <c r="R45" i="19"/>
  <c r="S45" i="19"/>
  <c r="T45" i="19"/>
  <c r="U45" i="19"/>
  <c r="V45" i="19"/>
  <c r="W45" i="19"/>
  <c r="X45" i="19"/>
  <c r="Y45" i="19"/>
  <c r="Z45" i="19"/>
  <c r="K48" i="19"/>
  <c r="L48" i="19"/>
  <c r="M48" i="19"/>
  <c r="N48" i="19"/>
  <c r="O48" i="19"/>
  <c r="P48" i="19"/>
  <c r="Q48" i="19"/>
  <c r="R48" i="19"/>
  <c r="S48" i="19"/>
  <c r="T48" i="19"/>
  <c r="U48" i="19"/>
  <c r="W48" i="19"/>
  <c r="X48" i="19"/>
  <c r="Y48" i="19"/>
  <c r="Z48" i="19"/>
  <c r="K49" i="19"/>
  <c r="L49" i="19"/>
  <c r="M49" i="19"/>
  <c r="N49" i="19"/>
  <c r="O49" i="19"/>
  <c r="P49" i="19"/>
  <c r="Q49" i="19"/>
  <c r="R49" i="19"/>
  <c r="S49" i="19"/>
  <c r="T49" i="19"/>
  <c r="U49" i="19"/>
  <c r="W49" i="19"/>
  <c r="X49" i="19"/>
  <c r="Y49" i="19"/>
  <c r="Z49" i="19"/>
  <c r="K34" i="19"/>
  <c r="K39" i="19"/>
  <c r="K50" i="19"/>
  <c r="L34" i="19"/>
  <c r="L39" i="19"/>
  <c r="L50" i="19"/>
  <c r="M34" i="19"/>
  <c r="M39" i="19"/>
  <c r="M50" i="19"/>
  <c r="N34" i="19"/>
  <c r="N39" i="19"/>
  <c r="N50" i="19"/>
  <c r="O34" i="19"/>
  <c r="O39" i="19"/>
  <c r="O50" i="19"/>
  <c r="P34" i="19"/>
  <c r="P39" i="19"/>
  <c r="P50" i="19"/>
  <c r="Q34" i="19"/>
  <c r="Q39" i="19"/>
  <c r="Q50" i="19"/>
  <c r="R34" i="19"/>
  <c r="R39" i="19"/>
  <c r="R50" i="19"/>
  <c r="S34" i="19"/>
  <c r="S39" i="19"/>
  <c r="S50" i="19"/>
  <c r="T34" i="19"/>
  <c r="T39" i="19"/>
  <c r="T50" i="19"/>
  <c r="U34" i="19"/>
  <c r="U39" i="19"/>
  <c r="U50" i="19"/>
  <c r="W34" i="19"/>
  <c r="W39" i="19"/>
  <c r="W50" i="19"/>
  <c r="X34" i="19"/>
  <c r="X39" i="19"/>
  <c r="X50" i="19"/>
  <c r="Y34" i="19"/>
  <c r="Y39" i="19"/>
  <c r="Y50" i="19"/>
  <c r="Z34" i="19"/>
  <c r="Z39" i="19"/>
  <c r="Z50" i="19"/>
  <c r="D48" i="19"/>
  <c r="E48" i="19"/>
  <c r="G48" i="19"/>
  <c r="H48" i="19"/>
  <c r="I48" i="19"/>
  <c r="J48" i="19"/>
  <c r="D49" i="19"/>
  <c r="E49" i="19"/>
  <c r="G49" i="19"/>
  <c r="H49" i="19"/>
  <c r="I49" i="19"/>
  <c r="J49" i="19"/>
  <c r="D34" i="19"/>
  <c r="D39" i="19"/>
  <c r="D50" i="19"/>
  <c r="E34" i="19"/>
  <c r="E39" i="19"/>
  <c r="E50" i="19"/>
  <c r="G34" i="19"/>
  <c r="G39" i="19"/>
  <c r="G50" i="19"/>
  <c r="H34" i="19"/>
  <c r="H39" i="19"/>
  <c r="H50" i="19"/>
  <c r="I34" i="19"/>
  <c r="I39" i="19"/>
  <c r="I50" i="19"/>
  <c r="J34" i="19"/>
  <c r="J39" i="19"/>
  <c r="J50" i="19"/>
  <c r="C34" i="19"/>
  <c r="C39" i="19"/>
  <c r="C50" i="19"/>
  <c r="D44" i="19"/>
  <c r="E44" i="19"/>
  <c r="F44" i="19"/>
  <c r="G44" i="19"/>
  <c r="H44" i="19"/>
  <c r="I44" i="19"/>
  <c r="D45" i="19"/>
  <c r="E45" i="19"/>
  <c r="F45" i="19"/>
  <c r="G45" i="19"/>
  <c r="H45" i="19"/>
  <c r="I45" i="19"/>
  <c r="C44" i="19"/>
  <c r="C45" i="19"/>
  <c r="D50" i="22"/>
  <c r="E50" i="22"/>
  <c r="G50" i="22"/>
  <c r="H50" i="22"/>
  <c r="I50" i="22"/>
  <c r="J50" i="22"/>
  <c r="D51" i="22"/>
  <c r="E51" i="22"/>
  <c r="G51" i="22"/>
  <c r="H51" i="22"/>
  <c r="I51" i="22"/>
  <c r="J51" i="22"/>
  <c r="D36" i="22"/>
  <c r="D41" i="22"/>
  <c r="D52" i="22"/>
  <c r="E36" i="22"/>
  <c r="E41" i="22"/>
  <c r="E52" i="22"/>
  <c r="G36" i="22"/>
  <c r="G41" i="22"/>
  <c r="G52" i="22"/>
  <c r="H36" i="22"/>
  <c r="H41" i="22"/>
  <c r="H52" i="22"/>
  <c r="I36" i="22"/>
  <c r="I41" i="22"/>
  <c r="I52" i="22"/>
  <c r="J36" i="22"/>
  <c r="J41" i="22"/>
  <c r="J52" i="22"/>
  <c r="D46" i="22"/>
  <c r="E46" i="22"/>
  <c r="F46" i="22"/>
  <c r="G46" i="22"/>
  <c r="H46" i="22"/>
  <c r="I46" i="22"/>
  <c r="D47" i="22"/>
  <c r="E47" i="22"/>
  <c r="F47" i="22"/>
  <c r="G47" i="22"/>
  <c r="H47" i="22"/>
  <c r="I47" i="22"/>
  <c r="C46" i="22"/>
  <c r="C47" i="22"/>
  <c r="C36" i="22"/>
  <c r="C41" i="22"/>
  <c r="C52" i="22"/>
  <c r="I35" i="22"/>
  <c r="J35" i="22"/>
  <c r="I40" i="22"/>
  <c r="J40" i="22"/>
  <c r="D49" i="17"/>
  <c r="E49" i="17"/>
  <c r="G49" i="17"/>
  <c r="H49" i="17"/>
  <c r="I49" i="17"/>
  <c r="D50" i="17"/>
  <c r="E50" i="17"/>
  <c r="G50" i="17"/>
  <c r="H50" i="17"/>
  <c r="I50" i="17"/>
  <c r="D35" i="17"/>
  <c r="D40" i="17"/>
  <c r="D51" i="17"/>
  <c r="E35" i="17"/>
  <c r="E40" i="17"/>
  <c r="E51" i="17"/>
  <c r="F35" i="17"/>
  <c r="F40" i="17"/>
  <c r="F51" i="17"/>
  <c r="G35" i="17"/>
  <c r="G40" i="17"/>
  <c r="G51" i="17"/>
  <c r="H35" i="17"/>
  <c r="H40" i="17"/>
  <c r="H51" i="17"/>
  <c r="I35" i="17"/>
  <c r="I40" i="17"/>
  <c r="I51" i="17"/>
  <c r="C35" i="17"/>
  <c r="C40" i="17"/>
  <c r="C51" i="17"/>
  <c r="D45" i="17"/>
  <c r="E45" i="17"/>
  <c r="F45" i="17"/>
  <c r="G45" i="17"/>
  <c r="H45" i="17"/>
  <c r="I45" i="17"/>
  <c r="D46" i="17"/>
  <c r="E46" i="17"/>
  <c r="F46" i="17"/>
  <c r="G46" i="17"/>
  <c r="H46" i="17"/>
  <c r="I46" i="17"/>
  <c r="C39" i="32"/>
  <c r="C44" i="32"/>
  <c r="C55" i="32"/>
  <c r="D53" i="32"/>
  <c r="E53" i="32"/>
  <c r="G53" i="32"/>
  <c r="H53" i="32"/>
  <c r="I53" i="32"/>
  <c r="J53" i="32"/>
  <c r="D54" i="32"/>
  <c r="E54" i="32"/>
  <c r="G54" i="32"/>
  <c r="H54" i="32"/>
  <c r="I54" i="32"/>
  <c r="J54" i="32"/>
  <c r="D39" i="32"/>
  <c r="D44" i="32"/>
  <c r="D55" i="32"/>
  <c r="E39" i="32"/>
  <c r="E44" i="32"/>
  <c r="E55" i="32"/>
  <c r="G39" i="32"/>
  <c r="G44" i="32"/>
  <c r="G55" i="32"/>
  <c r="H39" i="32"/>
  <c r="H44" i="32"/>
  <c r="H55" i="32"/>
  <c r="I39" i="32"/>
  <c r="I44" i="32"/>
  <c r="I55" i="32"/>
  <c r="J39" i="32"/>
  <c r="J44" i="32"/>
  <c r="J55" i="32"/>
  <c r="D49" i="32"/>
  <c r="E49" i="32"/>
  <c r="F49" i="32"/>
  <c r="G49" i="32"/>
  <c r="H49" i="32"/>
  <c r="I49" i="32"/>
  <c r="D50" i="32"/>
  <c r="E50" i="32"/>
  <c r="F50" i="32"/>
  <c r="G50" i="32"/>
  <c r="H50" i="32"/>
  <c r="I50" i="32"/>
  <c r="C49" i="32"/>
  <c r="C50" i="32"/>
  <c r="I38" i="32"/>
  <c r="J38" i="32"/>
  <c r="I43" i="32"/>
  <c r="J43" i="32"/>
  <c r="E22" i="31"/>
  <c r="B29" i="31"/>
  <c r="D53" i="31"/>
  <c r="E53" i="31"/>
  <c r="G53" i="31"/>
  <c r="H53" i="31"/>
  <c r="I53" i="31"/>
  <c r="J53" i="31"/>
  <c r="D54" i="31"/>
  <c r="E54" i="31"/>
  <c r="G54" i="31"/>
  <c r="H54" i="31"/>
  <c r="I54" i="31"/>
  <c r="J54" i="31"/>
  <c r="D39" i="31"/>
  <c r="D44" i="31"/>
  <c r="D55" i="31"/>
  <c r="E39" i="31"/>
  <c r="E44" i="31"/>
  <c r="E55" i="31"/>
  <c r="G39" i="31"/>
  <c r="G44" i="31"/>
  <c r="G55" i="31"/>
  <c r="H39" i="31"/>
  <c r="H44" i="31"/>
  <c r="H55" i="31"/>
  <c r="I39" i="31"/>
  <c r="I44" i="31"/>
  <c r="I55" i="31"/>
  <c r="J39" i="31"/>
  <c r="J44" i="31"/>
  <c r="J55" i="31"/>
  <c r="D49" i="31"/>
  <c r="E49" i="31"/>
  <c r="F49" i="31"/>
  <c r="G49" i="31"/>
  <c r="H49" i="31"/>
  <c r="I49" i="31"/>
  <c r="D50" i="31"/>
  <c r="E50" i="31"/>
  <c r="F50" i="31"/>
  <c r="G50" i="31"/>
  <c r="H50" i="31"/>
  <c r="I50" i="31"/>
  <c r="C49" i="31"/>
  <c r="C50" i="31"/>
  <c r="C39" i="31"/>
  <c r="C44" i="31"/>
  <c r="C55" i="31"/>
  <c r="I38" i="31"/>
  <c r="J38" i="31"/>
  <c r="I43" i="31"/>
  <c r="J43" i="31"/>
  <c r="D49" i="23"/>
  <c r="E49" i="23"/>
  <c r="G49" i="23"/>
  <c r="H49" i="23"/>
  <c r="I49" i="23"/>
  <c r="J49" i="23"/>
  <c r="D50" i="23"/>
  <c r="E50" i="23"/>
  <c r="G50" i="23"/>
  <c r="H50" i="23"/>
  <c r="I50" i="23"/>
  <c r="J50" i="23"/>
  <c r="D36" i="23"/>
  <c r="D40" i="23"/>
  <c r="D51" i="23"/>
  <c r="E36" i="23"/>
  <c r="E40" i="23"/>
  <c r="E51" i="23"/>
  <c r="G36" i="23"/>
  <c r="G40" i="23"/>
  <c r="G51" i="23"/>
  <c r="H36" i="23"/>
  <c r="H40" i="23"/>
  <c r="H51" i="23"/>
  <c r="I36" i="23"/>
  <c r="I40" i="23"/>
  <c r="I51" i="23"/>
  <c r="J36" i="23"/>
  <c r="J40" i="23"/>
  <c r="J51" i="23"/>
  <c r="D45" i="23"/>
  <c r="E45" i="23"/>
  <c r="F45" i="23"/>
  <c r="G45" i="23"/>
  <c r="H45" i="23"/>
  <c r="I45" i="23"/>
  <c r="D46" i="23"/>
  <c r="E46" i="23"/>
  <c r="F46" i="23"/>
  <c r="G46" i="23"/>
  <c r="H46" i="23"/>
  <c r="I46" i="23"/>
  <c r="C45" i="23"/>
  <c r="C46" i="23"/>
  <c r="C36" i="23"/>
  <c r="C40" i="23"/>
  <c r="C51" i="23"/>
  <c r="I35" i="23"/>
  <c r="J35" i="23"/>
  <c r="I39" i="23"/>
  <c r="J39" i="23"/>
  <c r="D48" i="13"/>
  <c r="C48" i="13"/>
  <c r="C49" i="13"/>
  <c r="J52" i="13"/>
  <c r="J53" i="13"/>
  <c r="J38" i="13"/>
  <c r="J43" i="13"/>
  <c r="J54" i="13"/>
  <c r="I52" i="13"/>
  <c r="I53" i="13"/>
  <c r="I38" i="13"/>
  <c r="I43" i="13"/>
  <c r="I54" i="13"/>
  <c r="H52" i="13"/>
  <c r="H53" i="13"/>
  <c r="H38" i="13"/>
  <c r="H43" i="13"/>
  <c r="H54" i="13"/>
  <c r="G52" i="13"/>
  <c r="G53" i="13"/>
  <c r="G38" i="13"/>
  <c r="G43" i="13"/>
  <c r="G54" i="13"/>
  <c r="E52" i="13"/>
  <c r="E53" i="13"/>
  <c r="E38" i="13"/>
  <c r="E43" i="13"/>
  <c r="E54" i="13"/>
  <c r="D52" i="13"/>
  <c r="D53" i="13"/>
  <c r="D38" i="13"/>
  <c r="D43" i="13"/>
  <c r="D54" i="13"/>
  <c r="C38" i="13"/>
  <c r="C43" i="13"/>
  <c r="C54" i="13"/>
  <c r="I48" i="13"/>
  <c r="I49" i="13"/>
  <c r="H48" i="13"/>
  <c r="H49" i="13"/>
  <c r="G48" i="13"/>
  <c r="G49" i="13"/>
  <c r="F48" i="13"/>
  <c r="F49" i="13"/>
  <c r="E48" i="13"/>
  <c r="E49" i="13"/>
  <c r="D49" i="13"/>
  <c r="I37" i="13"/>
  <c r="J37" i="13"/>
  <c r="I42" i="13"/>
  <c r="J42" i="13"/>
  <c r="D51" i="29"/>
  <c r="E51" i="29"/>
  <c r="G51" i="29"/>
  <c r="H51" i="29"/>
  <c r="I51" i="29"/>
  <c r="J51" i="29"/>
  <c r="D52" i="29"/>
  <c r="E52" i="29"/>
  <c r="G52" i="29"/>
  <c r="H52" i="29"/>
  <c r="I52" i="29"/>
  <c r="J52" i="29"/>
  <c r="D37" i="29"/>
  <c r="D42" i="29"/>
  <c r="D53" i="29"/>
  <c r="E37" i="29"/>
  <c r="E42" i="29"/>
  <c r="E53" i="29"/>
  <c r="G37" i="29"/>
  <c r="G42" i="29"/>
  <c r="G53" i="29"/>
  <c r="H37" i="29"/>
  <c r="H42" i="29"/>
  <c r="H53" i="29"/>
  <c r="I37" i="29"/>
  <c r="I42" i="29"/>
  <c r="I53" i="29"/>
  <c r="J37" i="29"/>
  <c r="J42" i="29"/>
  <c r="J53" i="29"/>
  <c r="I36" i="29"/>
  <c r="J36" i="29"/>
  <c r="I41" i="29"/>
  <c r="J41" i="29"/>
  <c r="D47" i="29"/>
  <c r="E47" i="29"/>
  <c r="F47" i="29"/>
  <c r="G47" i="29"/>
  <c r="H47" i="29"/>
  <c r="I47" i="29"/>
  <c r="D48" i="29"/>
  <c r="E48" i="29"/>
  <c r="F48" i="29"/>
  <c r="G48" i="29"/>
  <c r="H48" i="29"/>
  <c r="I48" i="29"/>
  <c r="C47" i="29"/>
  <c r="C48" i="29"/>
  <c r="C37" i="29"/>
  <c r="C42" i="29"/>
  <c r="C53" i="29"/>
  <c r="I37" i="28"/>
  <c r="J37" i="28"/>
  <c r="I42" i="28"/>
  <c r="J42" i="28"/>
  <c r="D52" i="28"/>
  <c r="E52" i="28"/>
  <c r="G52" i="28"/>
  <c r="H52" i="28"/>
  <c r="I52" i="28"/>
  <c r="J52" i="28"/>
  <c r="D53" i="28"/>
  <c r="E53" i="28"/>
  <c r="G53" i="28"/>
  <c r="H53" i="28"/>
  <c r="I53" i="28"/>
  <c r="J53" i="28"/>
  <c r="D48" i="28"/>
  <c r="E48" i="28"/>
  <c r="F48" i="28"/>
  <c r="G48" i="28"/>
  <c r="H48" i="28"/>
  <c r="I48" i="28"/>
  <c r="D49" i="28"/>
  <c r="E49" i="28"/>
  <c r="F49" i="28"/>
  <c r="G49" i="28"/>
  <c r="H49" i="28"/>
  <c r="I49" i="28"/>
  <c r="C48" i="28"/>
  <c r="C49" i="28"/>
  <c r="D35" i="14"/>
  <c r="D40" i="14"/>
  <c r="D49" i="14"/>
  <c r="D50" i="14"/>
  <c r="D51" i="14"/>
  <c r="E35" i="14"/>
  <c r="E40" i="14"/>
  <c r="E49" i="14"/>
  <c r="E50" i="14"/>
  <c r="E51" i="14"/>
  <c r="G35" i="14"/>
  <c r="G40" i="14"/>
  <c r="G49" i="14"/>
  <c r="G50" i="14"/>
  <c r="G51" i="14"/>
  <c r="H35" i="14"/>
  <c r="H40" i="14"/>
  <c r="H49" i="14"/>
  <c r="H50" i="14"/>
  <c r="H51" i="14"/>
  <c r="I35" i="14"/>
  <c r="I40" i="14"/>
  <c r="I49" i="14"/>
  <c r="I50" i="14"/>
  <c r="I51" i="14"/>
  <c r="J35" i="14"/>
  <c r="J40" i="14"/>
  <c r="J49" i="14"/>
  <c r="J50" i="14"/>
  <c r="J51" i="14"/>
  <c r="C35" i="14"/>
  <c r="C40" i="14"/>
  <c r="C51" i="14"/>
  <c r="D45" i="14"/>
  <c r="D46" i="14"/>
  <c r="E45" i="14"/>
  <c r="E46" i="14"/>
  <c r="F45" i="14"/>
  <c r="F46" i="14"/>
  <c r="G45" i="14"/>
  <c r="G46" i="14"/>
  <c r="H45" i="14"/>
  <c r="H46" i="14"/>
  <c r="I45" i="14"/>
  <c r="I46" i="14"/>
  <c r="C45" i="14"/>
  <c r="C46" i="14"/>
  <c r="I34" i="14"/>
  <c r="J34" i="14"/>
  <c r="I39" i="14"/>
  <c r="J39" i="14"/>
  <c r="D38" i="21"/>
  <c r="D43" i="21"/>
  <c r="D52" i="21"/>
  <c r="D53" i="21"/>
  <c r="D54" i="21"/>
  <c r="E38" i="21"/>
  <c r="E43" i="21"/>
  <c r="E52" i="21"/>
  <c r="E53" i="21"/>
  <c r="E54" i="21"/>
  <c r="G38" i="21"/>
  <c r="G43" i="21"/>
  <c r="G52" i="21"/>
  <c r="G53" i="21"/>
  <c r="G54" i="21"/>
  <c r="H38" i="21"/>
  <c r="H43" i="21"/>
  <c r="H52" i="21"/>
  <c r="H53" i="21"/>
  <c r="H54" i="21"/>
  <c r="I38" i="21"/>
  <c r="I43" i="21"/>
  <c r="I52" i="21"/>
  <c r="I53" i="21"/>
  <c r="I54" i="21"/>
  <c r="J38" i="21"/>
  <c r="J43" i="21"/>
  <c r="J52" i="21"/>
  <c r="J53" i="21"/>
  <c r="J54" i="21"/>
  <c r="C38" i="21"/>
  <c r="C43" i="21"/>
  <c r="C54" i="21"/>
  <c r="D48" i="21"/>
  <c r="D49" i="21"/>
  <c r="E48" i="21"/>
  <c r="E49" i="21"/>
  <c r="F48" i="21"/>
  <c r="F49" i="21"/>
  <c r="G48" i="21"/>
  <c r="G49" i="21"/>
  <c r="H48" i="21"/>
  <c r="H49" i="21"/>
  <c r="I48" i="21"/>
  <c r="I49" i="21"/>
  <c r="C48" i="21"/>
  <c r="C49" i="21"/>
  <c r="I34" i="33"/>
  <c r="J34" i="33"/>
  <c r="I35" i="33"/>
  <c r="J35" i="33"/>
  <c r="I39" i="33"/>
  <c r="J39" i="33"/>
  <c r="I40" i="33"/>
  <c r="J40" i="33"/>
  <c r="D35" i="33"/>
  <c r="D40" i="33"/>
  <c r="D49" i="33"/>
  <c r="D50" i="33"/>
  <c r="D51" i="33"/>
  <c r="E35" i="33"/>
  <c r="E40" i="33"/>
  <c r="E49" i="33"/>
  <c r="E50" i="33"/>
  <c r="E51" i="33"/>
  <c r="G35" i="33"/>
  <c r="G40" i="33"/>
  <c r="G49" i="33"/>
  <c r="G50" i="33"/>
  <c r="G51" i="33"/>
  <c r="H35" i="33"/>
  <c r="H40" i="33"/>
  <c r="H49" i="33"/>
  <c r="H50" i="33"/>
  <c r="H51" i="33"/>
  <c r="I49" i="33"/>
  <c r="I50" i="33"/>
  <c r="I51" i="33"/>
  <c r="J49" i="33"/>
  <c r="J50" i="33"/>
  <c r="J51" i="33"/>
  <c r="C35" i="33"/>
  <c r="C40" i="33"/>
  <c r="C51" i="33"/>
  <c r="D45" i="33"/>
  <c r="D46" i="33"/>
  <c r="E45" i="33"/>
  <c r="E46" i="33"/>
  <c r="F45" i="33"/>
  <c r="F46" i="33"/>
  <c r="G45" i="33"/>
  <c r="G46" i="33"/>
  <c r="H45" i="33"/>
  <c r="H46" i="33"/>
  <c r="I45" i="33"/>
  <c r="I46" i="33"/>
  <c r="C45" i="33"/>
  <c r="C46" i="33"/>
  <c r="C37" i="24"/>
  <c r="C42" i="24"/>
  <c r="C53" i="24"/>
  <c r="D30" i="24"/>
  <c r="D37" i="24"/>
  <c r="D42" i="24"/>
  <c r="D51" i="24"/>
  <c r="D52" i="24"/>
  <c r="D53" i="24"/>
  <c r="E30" i="24"/>
  <c r="E37" i="24"/>
  <c r="E42" i="24"/>
  <c r="E51" i="24"/>
  <c r="E52" i="24"/>
  <c r="E53" i="24"/>
  <c r="G30" i="24"/>
  <c r="G37" i="24"/>
  <c r="G42" i="24"/>
  <c r="G51" i="24"/>
  <c r="G52" i="24"/>
  <c r="G53" i="24"/>
  <c r="H30" i="24"/>
  <c r="H37" i="24"/>
  <c r="H42" i="24"/>
  <c r="H51" i="24"/>
  <c r="H52" i="24"/>
  <c r="H53" i="24"/>
  <c r="I30" i="24"/>
  <c r="I37" i="24"/>
  <c r="I42" i="24"/>
  <c r="I51" i="24"/>
  <c r="I52" i="24"/>
  <c r="I53" i="24"/>
  <c r="J30" i="24"/>
  <c r="J37" i="24"/>
  <c r="J42" i="24"/>
  <c r="J51" i="24"/>
  <c r="J52" i="24"/>
  <c r="J53" i="24"/>
  <c r="D32" i="24"/>
  <c r="E32" i="24"/>
  <c r="F32" i="24"/>
  <c r="G32" i="24"/>
  <c r="H32" i="24"/>
  <c r="I32" i="24"/>
  <c r="J32" i="24"/>
  <c r="D47" i="24"/>
  <c r="E47" i="24"/>
  <c r="F47" i="24"/>
  <c r="G47" i="24"/>
  <c r="H47" i="24"/>
  <c r="I47" i="24"/>
  <c r="C47" i="24"/>
  <c r="D48" i="24"/>
  <c r="E48" i="24"/>
  <c r="F48" i="24"/>
  <c r="G48" i="24"/>
  <c r="H48" i="24"/>
  <c r="I48" i="24"/>
  <c r="C48" i="24"/>
  <c r="E19" i="23"/>
  <c r="B6" i="23"/>
  <c r="B7" i="23"/>
  <c r="B8" i="23"/>
  <c r="B9" i="23"/>
  <c r="B10" i="23"/>
  <c r="B11" i="23"/>
  <c r="B12" i="23"/>
  <c r="B13" i="23"/>
  <c r="B14" i="23"/>
  <c r="B26" i="23"/>
  <c r="C37" i="21"/>
  <c r="B35" i="30"/>
  <c r="F39" i="33"/>
  <c r="J9" i="30"/>
  <c r="I9" i="30"/>
  <c r="H9" i="30"/>
  <c r="B9" i="30"/>
  <c r="F43" i="32"/>
  <c r="J21" i="30"/>
  <c r="I21" i="30"/>
  <c r="H21" i="30"/>
  <c r="B13" i="32"/>
  <c r="H39" i="33"/>
  <c r="G39" i="33"/>
  <c r="E39" i="33"/>
  <c r="D39" i="33"/>
  <c r="C39" i="33"/>
  <c r="H34" i="33"/>
  <c r="G34" i="33"/>
  <c r="F34" i="33"/>
  <c r="E34" i="33"/>
  <c r="D34" i="33"/>
  <c r="C34" i="33"/>
  <c r="C24" i="33"/>
  <c r="D24" i="33"/>
  <c r="A15" i="33"/>
  <c r="E22" i="32"/>
  <c r="B29" i="32"/>
  <c r="H43" i="32"/>
  <c r="G43" i="32"/>
  <c r="E43" i="32"/>
  <c r="D43" i="32"/>
  <c r="C43" i="32"/>
  <c r="H38" i="32"/>
  <c r="G38" i="32"/>
  <c r="F38" i="32"/>
  <c r="E38" i="32"/>
  <c r="D38" i="32"/>
  <c r="C38" i="32"/>
  <c r="C28" i="32"/>
  <c r="D28" i="32"/>
  <c r="A19" i="32"/>
  <c r="I42" i="21"/>
  <c r="J42" i="21"/>
  <c r="I37" i="21"/>
  <c r="J37" i="21"/>
  <c r="I41" i="24"/>
  <c r="J41" i="24"/>
  <c r="I36" i="24"/>
  <c r="J36" i="24"/>
  <c r="C18" i="14"/>
  <c r="D18" i="14"/>
  <c r="E18" i="14"/>
  <c r="B25" i="14"/>
  <c r="E21" i="28"/>
  <c r="B8" i="28"/>
  <c r="B9" i="28"/>
  <c r="B12" i="28"/>
  <c r="B14" i="28"/>
  <c r="B28" i="28"/>
  <c r="E20" i="29"/>
  <c r="B11" i="29"/>
  <c r="B27" i="29"/>
  <c r="I17" i="30"/>
  <c r="H17" i="30"/>
  <c r="B17" i="30"/>
  <c r="A19" i="31"/>
  <c r="I43" i="30"/>
  <c r="H43" i="30"/>
  <c r="B43" i="30"/>
  <c r="I32" i="30"/>
  <c r="H32" i="30"/>
  <c r="B32" i="30"/>
  <c r="I35" i="30"/>
  <c r="H35" i="30"/>
  <c r="I34" i="30"/>
  <c r="H34" i="30"/>
  <c r="B34" i="30"/>
  <c r="I16" i="30"/>
  <c r="H16" i="30"/>
  <c r="B16" i="30"/>
  <c r="I13" i="30"/>
  <c r="H13" i="30"/>
  <c r="B13" i="30"/>
  <c r="I12" i="30"/>
  <c r="H12" i="30"/>
  <c r="B12" i="30"/>
  <c r="I10" i="30"/>
  <c r="H10" i="30"/>
  <c r="B10" i="30"/>
  <c r="I8" i="30"/>
  <c r="H8" i="30"/>
  <c r="B8" i="30"/>
  <c r="I11" i="30"/>
  <c r="H11" i="30"/>
  <c r="B11" i="30"/>
  <c r="I7" i="30"/>
  <c r="H7" i="30"/>
  <c r="B7" i="30"/>
  <c r="A17" i="29"/>
  <c r="A18" i="28"/>
  <c r="B85" i="17"/>
  <c r="A13" i="26"/>
  <c r="A17" i="24"/>
  <c r="A16" i="23"/>
  <c r="A16" i="22"/>
  <c r="A18" i="21"/>
  <c r="F363" i="3"/>
  <c r="F364" i="3"/>
  <c r="A363" i="3"/>
  <c r="A364" i="3"/>
  <c r="A14" i="19"/>
  <c r="A15" i="17"/>
  <c r="A18" i="13"/>
  <c r="A15" i="14"/>
  <c r="C26" i="29"/>
  <c r="D26" i="29"/>
  <c r="F36" i="29"/>
  <c r="G41" i="29"/>
  <c r="F41" i="29"/>
  <c r="J12" i="30"/>
  <c r="C24" i="14"/>
  <c r="D24" i="14"/>
  <c r="C22" i="26"/>
  <c r="D22" i="26"/>
  <c r="C23" i="19"/>
  <c r="D23" i="19"/>
  <c r="G36" i="29"/>
  <c r="E36" i="29"/>
  <c r="H41" i="29"/>
  <c r="D36" i="29"/>
  <c r="E41" i="29"/>
  <c r="C27" i="13"/>
  <c r="D27" i="13"/>
  <c r="D32" i="26"/>
  <c r="C24" i="17"/>
  <c r="D24" i="17"/>
  <c r="C27" i="21"/>
  <c r="D27" i="21"/>
  <c r="C25" i="22"/>
  <c r="D25" i="22"/>
  <c r="C25" i="23"/>
  <c r="D25" i="23"/>
  <c r="H36" i="29"/>
  <c r="D38" i="31"/>
  <c r="D43" i="31"/>
  <c r="C43" i="31"/>
  <c r="C38" i="31"/>
  <c r="F38" i="31"/>
  <c r="F43" i="31"/>
  <c r="J17" i="30"/>
  <c r="E38" i="31"/>
  <c r="E43" i="31"/>
  <c r="G38" i="31"/>
  <c r="G43" i="31"/>
  <c r="H38" i="31"/>
  <c r="H43" i="31"/>
  <c r="D41" i="29"/>
  <c r="C41" i="29"/>
  <c r="C36" i="29"/>
  <c r="F41" i="24"/>
  <c r="J7" i="30"/>
  <c r="E37" i="28"/>
  <c r="E42" i="28"/>
  <c r="D37" i="28"/>
  <c r="D42" i="28"/>
  <c r="F37" i="28"/>
  <c r="F42" i="28"/>
  <c r="J10" i="30"/>
  <c r="G37" i="28"/>
  <c r="G42" i="28"/>
  <c r="H37" i="28"/>
  <c r="H42" i="28"/>
  <c r="D37" i="26"/>
  <c r="J43" i="30"/>
  <c r="C32" i="26"/>
  <c r="E37" i="26"/>
  <c r="E32" i="26"/>
  <c r="C37" i="26"/>
  <c r="G39" i="17"/>
  <c r="L39" i="17"/>
  <c r="H39" i="17"/>
  <c r="C39" i="17"/>
  <c r="G36" i="24"/>
  <c r="G41" i="24"/>
  <c r="D36" i="24"/>
  <c r="D41" i="24"/>
  <c r="E36" i="24"/>
  <c r="E41" i="24"/>
  <c r="F36" i="24"/>
  <c r="C41" i="24"/>
  <c r="C36" i="24"/>
  <c r="H36" i="24"/>
  <c r="H41" i="24"/>
  <c r="G34" i="17"/>
  <c r="F34" i="14"/>
  <c r="F39" i="14"/>
  <c r="J8" i="30"/>
  <c r="H34" i="14"/>
  <c r="H39" i="14"/>
  <c r="G34" i="14"/>
  <c r="G39" i="14"/>
  <c r="C34" i="14"/>
  <c r="C39" i="14"/>
  <c r="D34" i="14"/>
  <c r="D39" i="14"/>
  <c r="C34" i="17"/>
  <c r="E34" i="14"/>
  <c r="E39" i="14"/>
  <c r="E34" i="17"/>
  <c r="E39" i="17"/>
  <c r="F34" i="17"/>
  <c r="F39" i="17"/>
  <c r="K34" i="17"/>
  <c r="K39" i="17"/>
  <c r="I34" i="17"/>
  <c r="I39" i="17"/>
  <c r="D34" i="17"/>
  <c r="D39" i="17"/>
  <c r="J34" i="17"/>
  <c r="J39" i="17"/>
  <c r="J34" i="30"/>
  <c r="L34" i="17"/>
  <c r="H34" i="17"/>
  <c r="T33" i="19"/>
  <c r="T38" i="19"/>
  <c r="W33" i="19"/>
  <c r="W38" i="19"/>
  <c r="G33" i="19"/>
  <c r="G38" i="19"/>
  <c r="Y33" i="19"/>
  <c r="Y38" i="19"/>
  <c r="L33" i="19"/>
  <c r="L38" i="19"/>
  <c r="S33" i="19"/>
  <c r="S38" i="19"/>
  <c r="U33" i="19"/>
  <c r="U38" i="19"/>
  <c r="P33" i="19"/>
  <c r="P38" i="19"/>
  <c r="R33" i="19"/>
  <c r="R38" i="19"/>
  <c r="Q33" i="19"/>
  <c r="Q38" i="19"/>
  <c r="D33" i="19"/>
  <c r="D38" i="19"/>
  <c r="O33" i="19"/>
  <c r="O38" i="19"/>
  <c r="M33" i="19"/>
  <c r="M38" i="19"/>
  <c r="H33" i="19"/>
  <c r="H38" i="19"/>
  <c r="N33" i="19"/>
  <c r="N38" i="19"/>
  <c r="X33" i="19"/>
  <c r="X38" i="19"/>
  <c r="I33" i="19"/>
  <c r="I38" i="19"/>
  <c r="C33" i="19"/>
  <c r="C38" i="19"/>
  <c r="K33" i="19"/>
  <c r="K38" i="19"/>
  <c r="E33" i="19"/>
  <c r="E38" i="19"/>
  <c r="Z33" i="19"/>
  <c r="Z38" i="19"/>
  <c r="J33" i="19"/>
  <c r="J38" i="19"/>
  <c r="V33" i="19"/>
  <c r="V38" i="19"/>
  <c r="J32" i="30"/>
  <c r="F33" i="19"/>
  <c r="F38" i="19"/>
  <c r="G39" i="23"/>
  <c r="G35" i="23"/>
  <c r="C35" i="23"/>
  <c r="E37" i="21"/>
  <c r="E42" i="21"/>
  <c r="H37" i="13"/>
  <c r="H42" i="13"/>
  <c r="C42" i="21"/>
  <c r="F37" i="21"/>
  <c r="F42" i="21"/>
  <c r="J11" i="30"/>
  <c r="D37" i="13"/>
  <c r="D42" i="13"/>
  <c r="H35" i="22"/>
  <c r="H40" i="22"/>
  <c r="G37" i="21"/>
  <c r="G42" i="21"/>
  <c r="H39" i="23"/>
  <c r="H35" i="23"/>
  <c r="D35" i="22"/>
  <c r="D40" i="22"/>
  <c r="H37" i="21"/>
  <c r="H42" i="21"/>
  <c r="C37" i="13"/>
  <c r="C42" i="13"/>
  <c r="G37" i="13"/>
  <c r="G42" i="13"/>
  <c r="F35" i="22"/>
  <c r="F40" i="22"/>
  <c r="J35" i="30"/>
  <c r="E39" i="23"/>
  <c r="E35" i="23"/>
  <c r="G35" i="22"/>
  <c r="G40" i="22"/>
  <c r="D39" i="23"/>
  <c r="D35" i="23"/>
  <c r="F39" i="23"/>
  <c r="J16" i="30"/>
  <c r="F35" i="23"/>
  <c r="E35" i="22"/>
  <c r="E40" i="22"/>
  <c r="C40" i="22"/>
  <c r="C35" i="22"/>
  <c r="D37" i="21"/>
  <c r="D42" i="21"/>
  <c r="E37" i="13"/>
  <c r="E42" i="13"/>
  <c r="F37" i="13"/>
  <c r="F42" i="13"/>
  <c r="J13" i="30"/>
  <c r="C39" i="23"/>
  <c r="C42" i="28"/>
  <c r="C37" i="28"/>
  <c r="C38" i="28"/>
  <c r="C43" i="28"/>
  <c r="C54" i="28"/>
  <c r="J38" i="28"/>
  <c r="J43" i="28"/>
  <c r="J54" i="28"/>
  <c r="I38" i="28"/>
  <c r="I43" i="28"/>
  <c r="I54" i="28"/>
  <c r="H38" i="28"/>
  <c r="H43" i="28"/>
  <c r="H54" i="28"/>
  <c r="G38" i="28"/>
  <c r="G43" i="28"/>
  <c r="G54" i="28"/>
  <c r="E38" i="28"/>
  <c r="E43" i="28"/>
  <c r="E54" i="28"/>
  <c r="D38" i="28"/>
  <c r="D43" i="28"/>
  <c r="D54" i="28"/>
  <c r="J33" i="28"/>
  <c r="I33" i="28"/>
  <c r="H33" i="28"/>
  <c r="G33" i="28"/>
  <c r="F33" i="28"/>
  <c r="E33" i="28"/>
  <c r="D33" i="28"/>
</calcChain>
</file>

<file path=xl/sharedStrings.xml><?xml version="1.0" encoding="utf-8"?>
<sst xmlns="http://schemas.openxmlformats.org/spreadsheetml/2006/main" count="2777" uniqueCount="612">
  <si>
    <t>Produit</t>
  </si>
  <si>
    <t>Magazin</t>
  </si>
  <si>
    <t>La Vie Claire (rue de l'Eglise)</t>
  </si>
  <si>
    <t>Pain complet (400g)</t>
  </si>
  <si>
    <t>Gruyere (240g)</t>
  </si>
  <si>
    <t>Vin blanc Soleiller (25cl)</t>
  </si>
  <si>
    <t>Rayon</t>
  </si>
  <si>
    <t>Boulangerie</t>
  </si>
  <si>
    <t>Huile d'Olive Vierge Extra 75</t>
  </si>
  <si>
    <t>Huiles</t>
  </si>
  <si>
    <t>Sauce Soja (Shoyu Classique 145ml)</t>
  </si>
  <si>
    <t>Sauces</t>
  </si>
  <si>
    <t>Ail Crac Espagne</t>
  </si>
  <si>
    <t>Noix Seche</t>
  </si>
  <si>
    <t>Date</t>
  </si>
  <si>
    <t>Gnocchi</t>
  </si>
  <si>
    <t>Beurre Doux (250g)</t>
  </si>
  <si>
    <t>Raviolis aux Aubergines</t>
  </si>
  <si>
    <t>Pâtes (fraiches)</t>
  </si>
  <si>
    <t>Sucre de canne blond (750g)</t>
  </si>
  <si>
    <t>Sucres</t>
  </si>
  <si>
    <t>Brocoli</t>
  </si>
  <si>
    <t>Biocoop Boucicault</t>
  </si>
  <si>
    <t>Farine de blé T55 (1kg)</t>
  </si>
  <si>
    <t>Poivre moulin noir (50g)</t>
  </si>
  <si>
    <t>Liquide Vaisselle Citron (500ml)</t>
  </si>
  <si>
    <t>Biocoop Boucicaut</t>
  </si>
  <si>
    <t>Entretien</t>
  </si>
  <si>
    <t>Huile Coco (20cl)</t>
  </si>
  <si>
    <t>Persil Plat (18g)</t>
  </si>
  <si>
    <t>Curry Poudre (35g)</t>
  </si>
  <si>
    <t>Levure</t>
  </si>
  <si>
    <t>Farines</t>
  </si>
  <si>
    <t>Levure Boulagère Fraiche (cube)</t>
  </si>
  <si>
    <t>Emmental rapé 29%MG (100g)</t>
  </si>
  <si>
    <t>Fromages</t>
  </si>
  <si>
    <t>Tortelloni Epinard Pignons</t>
  </si>
  <si>
    <t>Œufs (6) Cal 63/73 Gros</t>
  </si>
  <si>
    <t>Flocons d'Avoine Sans Gluten</t>
  </si>
  <si>
    <r>
      <t>Prix (</t>
    </r>
    <r>
      <rPr>
        <b/>
        <sz val="11"/>
        <color theme="1"/>
        <rFont val="Calibri"/>
        <family val="2"/>
      </rPr>
      <t>€)</t>
    </r>
  </si>
  <si>
    <t>Coût (€/récette)</t>
  </si>
  <si>
    <t>Quantité (kg-l-p)</t>
  </si>
  <si>
    <r>
      <t>Coût (</t>
    </r>
    <r>
      <rPr>
        <b/>
        <sz val="11"/>
        <color theme="1"/>
        <rFont val="Calibri"/>
        <family val="2"/>
      </rPr>
      <t>€/</t>
    </r>
    <r>
      <rPr>
        <b/>
        <sz val="11"/>
        <color theme="1"/>
        <rFont val="Calibri"/>
        <family val="2"/>
        <scheme val="minor"/>
      </rPr>
      <t>kg-l-p)</t>
    </r>
  </si>
  <si>
    <t>Crème liquide Auchan Bio (3 x 20cl)</t>
  </si>
  <si>
    <t>Auchan Direct (Charles Michel)</t>
  </si>
  <si>
    <t xml:space="preserve"> - </t>
  </si>
  <si>
    <t>Eaux</t>
  </si>
  <si>
    <t>La Salvetat (6x1,25l)</t>
  </si>
  <si>
    <t>TOTAL</t>
  </si>
  <si>
    <t>Gain revente (€)</t>
  </si>
  <si>
    <t>Gaufres à la crème</t>
  </si>
  <si>
    <t xml:space="preserve">Prix revente cuisto  </t>
  </si>
  <si>
    <t>Cuisto</t>
  </si>
  <si>
    <t>Site</t>
  </si>
  <si>
    <t>Blanquette de veau</t>
  </si>
  <si>
    <t>Veau (blanquette)</t>
  </si>
  <si>
    <t>Poireau</t>
  </si>
  <si>
    <t>Confitures</t>
  </si>
  <si>
    <t>Confiture Framboise 370g</t>
  </si>
  <si>
    <t>Aromes</t>
  </si>
  <si>
    <t>Arome Framboise 60ml</t>
  </si>
  <si>
    <t>Chocolats</t>
  </si>
  <si>
    <t>Chocolat noire dessert (56%)</t>
  </si>
  <si>
    <t>Poivron orange</t>
  </si>
  <si>
    <t xml:space="preserve"> -</t>
  </si>
  <si>
    <t>Sel de Gérande (0,5 kg)</t>
  </si>
  <si>
    <t>Herbes de provence bio</t>
  </si>
  <si>
    <t>Préparation</t>
  </si>
  <si>
    <t>Ingrédients</t>
  </si>
  <si>
    <t>Pâtes</t>
  </si>
  <si>
    <t>Pommes de terre bio</t>
  </si>
  <si>
    <t>c</t>
  </si>
  <si>
    <t>Edeka Waltner (Übersee)</t>
  </si>
  <si>
    <t xml:space="preserve">Bœuf : morceau pour bouillon </t>
  </si>
  <si>
    <t xml:space="preserve">Bœuf : morceau avec os pour bouillon </t>
  </si>
  <si>
    <t>Bœuf : os pour bouillon</t>
  </si>
  <si>
    <t>Viande (non bio)</t>
  </si>
  <si>
    <t>Viande bio</t>
  </si>
  <si>
    <t>Dinde (escaloppe)</t>
  </si>
  <si>
    <t>Légumes (non bio)</t>
  </si>
  <si>
    <t>Courgette</t>
  </si>
  <si>
    <t>Légumes pour soupe (carotte, sélérie, poireau)</t>
  </si>
  <si>
    <t>Légumes (bio)</t>
  </si>
  <si>
    <t>Condiments (non bio)</t>
  </si>
  <si>
    <t>Œufs (bio)</t>
  </si>
  <si>
    <t>Fruits (bio)</t>
  </si>
  <si>
    <t>Compote de pommes</t>
  </si>
  <si>
    <t>Charcuterie (non bio)</t>
  </si>
  <si>
    <t>Fruits secs (non bio)</t>
  </si>
  <si>
    <t xml:space="preserve">Raisins secs </t>
  </si>
  <si>
    <t>Nombre de portions</t>
  </si>
  <si>
    <t>Poids (kg)</t>
  </si>
  <si>
    <t>Nombre portions</t>
  </si>
  <si>
    <t>Plat</t>
  </si>
  <si>
    <t>Poids de chaque portion (kg)</t>
  </si>
  <si>
    <t>Nombre de portions tronqué</t>
  </si>
  <si>
    <t>cellule calculée ou en lien avec d'autres</t>
  </si>
  <si>
    <t>Calcul de prix</t>
  </si>
  <si>
    <t>Produits et calcul de prix</t>
  </si>
  <si>
    <t>Kg</t>
  </si>
  <si>
    <t>L</t>
  </si>
  <si>
    <t>Pi</t>
  </si>
  <si>
    <t>Crèmes vache légère (15% MG UHT, 3 crèmes)</t>
  </si>
  <si>
    <t>Veau (blanquette) - Kg</t>
  </si>
  <si>
    <t>Carottes lavées bio</t>
  </si>
  <si>
    <t>Carottes lavées bio - Kg</t>
  </si>
  <si>
    <t>Poivron orange - Kg</t>
  </si>
  <si>
    <t>Ognion Jaune (30/12/2017) - Kg</t>
  </si>
  <si>
    <t>Huile d'Olive Vierge Extra 75 - L</t>
  </si>
  <si>
    <t>Beurre Doux (250g) - Kg</t>
  </si>
  <si>
    <t>Bouillon cube Legume (6 cubes ; 60g) - Kg</t>
  </si>
  <si>
    <t>Sel de Gérande (0,5 kg) - Kg</t>
  </si>
  <si>
    <t>Herbes de provence bio - Kg</t>
  </si>
  <si>
    <t>Pommes de terre bio - Kg</t>
  </si>
  <si>
    <t>Pâtes champigons - lardons</t>
  </si>
  <si>
    <t>Description récette</t>
  </si>
  <si>
    <t>Durée de préparation (min)</t>
  </si>
  <si>
    <t>Couper les ognions en petits dés</t>
  </si>
  <si>
    <t>Chauffer l'huile et le beurre dans une marmite, rajouter les ognions et laisser cuire 2 min</t>
  </si>
  <si>
    <t>Baisser le feu à température moyenne, puis rajouter la viande et laisser cuire 10 min (attention à ce que la température ne soit pas trop importante, feu moyen seulement ; le veau est une viande fragile)</t>
  </si>
  <si>
    <t>Pendant ce temps là, éplucher les carottes, couper tous les légumes en morceaux moyens (carottes et poireaux en rondelles, poivron en cubes)</t>
  </si>
  <si>
    <t>Après 10 min, sortir la viande de la marmite et la réserver dans un plat à part</t>
  </si>
  <si>
    <t>Ajouter les légumes coupées à la marmite, et les faire cuire à feu moyen pendant 5 min ; rajouter un peu d'huile si nécessaire</t>
  </si>
  <si>
    <t>Pendant ce temps là, faire fondre le cube dans un meug d'eau bouillante</t>
  </si>
  <si>
    <t>Rajouter le bouillon du cube aux légumes ; rajouter la viande ; si besoin, rajoutre de l'eau jusqu'à ce que la viande soit quasiment couverte</t>
  </si>
  <si>
    <t>Faire cuire à feu moyen</t>
  </si>
  <si>
    <t>Eplucher les pommes de terre et les couper en grands cubes ; les réserver dans un bol ou un tupperware jusqu'à 30 min avant la fin de la cuisson</t>
  </si>
  <si>
    <t xml:space="preserve">C'est fini ! Le plat cuira tout seul pendant 2 heures </t>
  </si>
  <si>
    <t>30 minutes avant la fin de la cuisson, rajouter les cubes de pommes de terre</t>
  </si>
  <si>
    <t xml:space="preserve">Servir </t>
  </si>
  <si>
    <t xml:space="preserve">Vous pouvez servir le plat chaut, après la cuisson de 2 heures, ou le réchauffer le lendemain </t>
  </si>
  <si>
    <t>La blanquette de veau est idéale pour faire du stock : elle se garde 2-3 jours au frigo et se congèle bien ; astuce : congélez dans des récipients d'une ou de deux portions ! Indiquez le nom du plat, le jour de la préparation et de la congélation sur le récipient</t>
  </si>
  <si>
    <t>Chamgignon Blanc Paris - Kg</t>
  </si>
  <si>
    <t>Ail Crac Espagne - Kg</t>
  </si>
  <si>
    <t>Bacon émincé (Fleury Michon)</t>
  </si>
  <si>
    <t>Bacon émincé (Fleury Michon) - Kg</t>
  </si>
  <si>
    <t>Poivre moulin noir (50g) - Kg</t>
  </si>
  <si>
    <t>Crème liquide Auchan Bio (3 x 20cl) - L</t>
  </si>
  <si>
    <t>Pâtes Fusilli Express (Jardin Bio)</t>
  </si>
  <si>
    <t>Pâtes Fusilli Express (Jardin Bio) - Kg</t>
  </si>
  <si>
    <t>Durée cuisson supplémentaire (min)</t>
  </si>
  <si>
    <t>Eplucher les champignon, les couper en fines lamelles (10 min)</t>
  </si>
  <si>
    <t>Eplucher les gousses d'ail, les couper en fines morceaux (3 min)</t>
  </si>
  <si>
    <t>Mettre 1,5 L d'eau à bouiller, pour les pâtes</t>
  </si>
  <si>
    <t>Chauffer l'huile dans une poèle (qui possède un couvercle, même s'il ne sert que plus tard) ; rajouter le bacon émincé et faire cuire pendant 5 min à feu fort</t>
  </si>
  <si>
    <t xml:space="preserve">Baisser le feu à tempérture moyenne ; rajouter les champignons, fermer le couvercle de la poelle ; faire cuire pendant 5 min à couvercle fermé, en remuant de temps en temps </t>
  </si>
  <si>
    <t>Rajouter la crème, l'ail, les herbes, sel et poivre ; faire mijoter pendant 5 minutes à couvercle fermé</t>
  </si>
  <si>
    <t>Mettre les pates dans l'eau bouillante, salée et huilée</t>
  </si>
  <si>
    <t>Pendant ce temps là, égoutter les pâtes ; rajouter un peu de beurre dans les pâtes égouttées</t>
  </si>
  <si>
    <t xml:space="preserve">C'est fini ! </t>
  </si>
  <si>
    <t>Les pâtes en sauce sont idéales pour faire du stock : elles se gardent 2-3 jours au frigo et se congèle bien ; astuce : congélez dans des récipients d'une ou de deux portions ! Indiquez le nom du plat, le jour de la préparation et de la congélation sur le récipient</t>
  </si>
  <si>
    <t xml:space="preserve">Vous pouvez servir le plat chaut, en mettant une portion d'environ 160g de pâtes et une louche de sauce sur chaque assiette, ou réserver les pates et la sauce dans un récipient au réfrigérateur (après les avoir laissé refroidir), pour les servir plus tard ; astuce : réchauffer les pâtes avec un peu d'huile dans un grande poèle et la sauce au micro-ondes, puis les servir comme indiqué ci-dessus ; </t>
  </si>
  <si>
    <t>Farine de blé T55 (1kg) - Kg</t>
  </si>
  <si>
    <t>Sucre de canne blond (750g) - Kg</t>
  </si>
  <si>
    <t>Sucre vanillé Madagascar (non bio) - Kg</t>
  </si>
  <si>
    <t>Œufs (6) Cal 63/73 Gros - Pi</t>
  </si>
  <si>
    <t>Crèmes vache légère (15% MG UHT, 3 crèmes) - L</t>
  </si>
  <si>
    <t>La Salvetat (6x1,25l) - L</t>
  </si>
  <si>
    <t xml:space="preserve">Mélanger toutes les ingrédients dans un mixer ; mixer pour obtenir une pate lisse </t>
  </si>
  <si>
    <t>Faire chauffer le gaufrier avec un peu d'huile</t>
  </si>
  <si>
    <t>Quand le gaufrier indique qu'il est à la bonne température, le remplir de pate et refermer pour faire cuire les gaufres ; Le gaufrier cuit 2 gaufres à la fois ; il faut compter ca 5 min par cuisson (2 gaufres)</t>
  </si>
  <si>
    <t>Macarons framboise</t>
  </si>
  <si>
    <t>Fruits secs (bio)</t>
  </si>
  <si>
    <t>Amandes complètes en poudre (bio) - La Patelière</t>
  </si>
  <si>
    <t>Sucre glace bio - Jean Hervé</t>
  </si>
  <si>
    <t>Amandes complètes en poudre (bio) - La Patelière - Kg</t>
  </si>
  <si>
    <t>Sucre glace bio - Jean Hervé - Kg</t>
  </si>
  <si>
    <t>Arome Framboise 60ml - L</t>
  </si>
  <si>
    <t>Confiture Framboise 370g - Kg</t>
  </si>
  <si>
    <t>Colorants alimentaires - Natali (bio)</t>
  </si>
  <si>
    <t>Colorants</t>
  </si>
  <si>
    <t>Colorants alimentaires - Natali (bio) - Kg</t>
  </si>
  <si>
    <t>30 (croutage) + 12 (cuisson)</t>
  </si>
  <si>
    <t>Mélanger poudre d'amandes et sucre glace ; tamiser le mixage</t>
  </si>
  <si>
    <t>Séparer 4 œufs et peser 125g de blanc d'œuf ; les mettre dans un grand bol et les battre en neige, en incorporant le sucre ; méringuer : battre jusqu'à obtenir une masse brillante</t>
  </si>
  <si>
    <t>Incorporer le mixage amandes / sucre glace dans les blancs d'œufs ; rabattre délicatement la masse sur elle-même, jusqu'à obtenir une masse moeulleux et brillante</t>
  </si>
  <si>
    <t>Rajouter l'arome et un colorant rose, pink ou rouge</t>
  </si>
  <si>
    <t>La première étape est finie ! Laisser crouter 30 min, puis mettre à cuire dans un four préchauffé à 155°C, pendant 12 min</t>
  </si>
  <si>
    <t>Laisser refroidir 20 min, puis enlever délicatement les macarons de la plaque de cuisson</t>
  </si>
  <si>
    <t>Coller deux macarons en mettant de la confiture au milieu</t>
  </si>
  <si>
    <t>Répartir la masse sur la plaque de cuisson, en 80 demi-macarons, à l'aide d'une douille</t>
  </si>
  <si>
    <t>C'est fini !</t>
  </si>
  <si>
    <t>Laurier (feuilles)</t>
  </si>
  <si>
    <t>Boulettes de moelle</t>
  </si>
  <si>
    <t>Bœuf : morceau pour bouillon  - Kg</t>
  </si>
  <si>
    <t>Bœuf : os pour bouillon - Kg</t>
  </si>
  <si>
    <t>Bœuf : morceau avec os pour bouillon  - Kg</t>
  </si>
  <si>
    <t>Laurier (feuilles) - Kg</t>
  </si>
  <si>
    <t>Légumes pour soupe (carotte, sélérie, poireau) - Kg</t>
  </si>
  <si>
    <t>Boulettes de moelle - Kg</t>
  </si>
  <si>
    <t>Soupe de bœuf garnie</t>
  </si>
  <si>
    <t>Couper l'ognion en petits dés</t>
  </si>
  <si>
    <t>Chaffer l'huile dans une grande casserolle et faire cuire l'ognion, à température forte, pendant 5 min ; il doit devenir sombre, sans bruler</t>
  </si>
  <si>
    <t>Remplir la casserolle d'eau froide</t>
  </si>
  <si>
    <t>Rajouter la viande de soupe, la viande avec os et l'os ; rajouter sel, poivre, feuilles de laurier ; porter à éboulition, puis baisser le feu et laisser cuire à feu doux pendant 3 heures</t>
  </si>
  <si>
    <t xml:space="preserve">Couper les légumes en petits morceaux, puis réserver dans un plat </t>
  </si>
  <si>
    <t>L'essentiel est fait ! Laisser cuire la soupe pendant 3 heures, à feu doux</t>
  </si>
  <si>
    <t>A la fin de la cuisson, sortir la viande de la soupe ; réserver sur une planche</t>
  </si>
  <si>
    <t>Filtrer le bouillon, puis le rajouter à la rasserolle</t>
  </si>
  <si>
    <t xml:space="preserve">Rajouter les légumes et les boulettes de moelle, puis porter à éboulition </t>
  </si>
  <si>
    <t>Pendant ce temps là, couper la viande en petits morceaux en enlevant les parties grasses</t>
  </si>
  <si>
    <t>Une fois la soupe portée à éboulition, enlever la casserolle du feu et rajouter les morceaux de viande</t>
  </si>
  <si>
    <t>Votre plat est terminé !</t>
  </si>
  <si>
    <t xml:space="preserve">Vous pouvez servir le plat chaut, ou laisser refroidir la soupe pour la servir dans les 2 - 3 jours qui suivent ; une fois refroidi, garder au réfrigérateur ! Astuce : réchauffer seulement les portions qui seront consommées, afin de pouvoir garder la soupe plus longtemps ; </t>
  </si>
  <si>
    <t>La soupe en sauce sont idéales pour faire du stock : elle se gard 2-3 jours au frigo et se congèle bien ; astuce : congélez dans des récipients d'une ou de deux portions ! Indiquez le nom du plat, le jour de la préparation et de la congélation sur le récipient</t>
  </si>
  <si>
    <t>Lait (Bio Alpenmilch)</t>
  </si>
  <si>
    <t>Lait (Bio Alpenmilch) - L</t>
  </si>
  <si>
    <t>Raisins secs  - Kg</t>
  </si>
  <si>
    <t>Kaiserschmarrn (Dessert)</t>
  </si>
  <si>
    <t>Séparer les œufs, en réservant les jaunes dans un bol assez grand pour contenir la pate du Kaiserschmarrn</t>
  </si>
  <si>
    <t>Battre les blanc avec le sel, jusqu'à obtenir une neige ferme</t>
  </si>
  <si>
    <t>Incorporer les blancs d'œuf dans la patte, tourner délicatement jusqu'à obtenir un mélange moilleux</t>
  </si>
  <si>
    <t>Laisser cuire la pate jusqu'à ce qu'elle commence à dorer en dessous, et à prendre au dessus ; tourner la gateaau dans la poele à l'aide d'une spatule et/ou du couvercle</t>
  </si>
  <si>
    <t>Mixer les jaunes d'œuf avec 1/3 du sucre, le lait et la farine, pour obtenir une patte</t>
  </si>
  <si>
    <t>Casser le gâteau en morceaux, rajouter le reste du beurre et du sucre dans la poele, pour caraméliser les morceaux en les tournant</t>
  </si>
  <si>
    <t>Faire 2/3 du beurre dans une poele (avec couvercle), le laisser chauffer jusqu'à ce qu'il soit légèrement doré ; verser la pate et les raisins sur le beurre chaud et fermer le couvercle</t>
  </si>
  <si>
    <t>Le Kaiserschmarrn est terminé quand tous les morceaux sont bien doré, imprégnés de beurre et de sucre</t>
  </si>
  <si>
    <t>Votre dessert est terminé !</t>
  </si>
  <si>
    <t xml:space="preserve">Le Kaiserschmarrn se mange chaud, accompagné d'une compote de pommes. Vous pouvez servir le dessert directement après la cuisson, ou le laisser refroidir, puis rechausser dans une poelle, avec un peu de beurre, dans les 2 - 3 jours qui suivent ; une fois refroidi, garder au réfrigérateur ! Astuce : réchauffer seulement les portions qui seront consommées, afin de pouvoir garder le dessert plus longtemps ; </t>
  </si>
  <si>
    <t>Le Kaisermarrn est idéal pour préparer un dessert en avance : il se gard 2-3 jours au frigo et se rechauffe bien, à la poele ; congélation ? A tester !!</t>
  </si>
  <si>
    <t>Compote de pommes - Kg</t>
  </si>
  <si>
    <t>Gnocchi - Kg</t>
  </si>
  <si>
    <t>Dinde (escaloppe) - Kg</t>
  </si>
  <si>
    <t>Basilic feuille bio (35g) - Herbier</t>
  </si>
  <si>
    <t>Basilic feuille bio (35g) - Herbier - Kg</t>
  </si>
  <si>
    <t>Couper la carotte, l'ognion et les escaloppes de dinde en petits morceaux</t>
  </si>
  <si>
    <t>Mettre un litre d'eau à bouir pour les gnocchi</t>
  </si>
  <si>
    <t>Faire chauffer l'huile dans une poele, puis rajouter les ognion ; faire cuire jusqu'à ce qu'ils deviennent transparents, puis rajouter les carottes ; faire cuire 4 minutes, puis rajouter les morceaux de dinde</t>
  </si>
  <si>
    <t>Faire cuire 3 - 4 minutes le mélange, puis rajouter la crème, les herbes, sel et poivre</t>
  </si>
  <si>
    <t>Egoutter les gnocchi, rajouter au mélange</t>
  </si>
  <si>
    <t>Votre plat est prêt !</t>
  </si>
  <si>
    <t xml:space="preserve">Servir le plat directement, ou le laisser refroidir, puis rechausser dans une poelle avec un peu d'huile, ou au micro-ondes ; une fois refroidi, garder au réfrigérateur ! Astuce : réchauffer seulement les portions qui seront consommées, afin de pouvoir garder le plat plus longtemps ; </t>
  </si>
  <si>
    <t>Les gnocchi à la dinde sont idéal pour faire du stock : ils se gardent 2-3 jours au frigo et se rechauffent bien ; congélation ? A tester !!</t>
  </si>
  <si>
    <t>Indique le chiffre d'affaires du cuisinier et du site par nombre de portions</t>
  </si>
  <si>
    <t>Indique le gain du cuisinier et du site par nombre de portions vendues (cuisiner : chiffre d'affaires - coût des matières premières ; site : chiffre d'affaires - prix revente cuisinier)</t>
  </si>
  <si>
    <t>Base calcul</t>
  </si>
  <si>
    <t>Objectif revente</t>
  </si>
  <si>
    <t>Site : gain (€)</t>
  </si>
  <si>
    <t>Cuisto : financement ingrédients (%)</t>
  </si>
  <si>
    <t>Levure Boulagère Fraiche (cube) - Kg</t>
  </si>
  <si>
    <t>15 + 15</t>
  </si>
  <si>
    <t>Mélanger la levure avec 2 cuillère de soupe d'eau froide dans un petit verre, laisser fondre</t>
  </si>
  <si>
    <t>Faire fondre le beurre dans une petite casserolle ou dans le thermomix ; mélanger avec les autres ingrédients dans le thermomix ou dans un grand bol ; mixer le tout</t>
  </si>
  <si>
    <t>Réserver la pâte dans un grand bol ferme ; mettre au frigo pendant 5 heures minimum (ou une nuit)</t>
  </si>
  <si>
    <t>Tomates ronde bio</t>
  </si>
  <si>
    <t>Curcuma frais bio</t>
  </si>
  <si>
    <t>Condiments bio</t>
  </si>
  <si>
    <t>Carottes bio</t>
  </si>
  <si>
    <t>Camembert Président bio</t>
  </si>
  <si>
    <t>Pain complet au 3 céréales ; Bjorg (500g)</t>
  </si>
  <si>
    <t>Patate douce</t>
  </si>
  <si>
    <t>Butternut (courge)</t>
  </si>
  <si>
    <t>Charcuterie (bio)</t>
  </si>
  <si>
    <t>Lardon nature bio (Bonjour Campagne)</t>
  </si>
  <si>
    <t>Pyramide Chêvre (Auchan bio)</t>
  </si>
  <si>
    <t>Gingembre frais bio</t>
  </si>
  <si>
    <t>Œufs (10) - Carrefour bio</t>
  </si>
  <si>
    <t>Carrefour City Charles Michel</t>
  </si>
  <si>
    <t>Pulpe de tomates</t>
  </si>
  <si>
    <t>l</t>
  </si>
  <si>
    <t>St Hubert bio</t>
  </si>
  <si>
    <t>Citron vert</t>
  </si>
  <si>
    <t>Yahourt Les 2 vaches framboise</t>
  </si>
  <si>
    <t>kg</t>
  </si>
  <si>
    <t>Saumon bio</t>
  </si>
  <si>
    <t>Concombre</t>
  </si>
  <si>
    <t>Pommes bio</t>
  </si>
  <si>
    <t>Nombre</t>
  </si>
  <si>
    <t>Prix unitaire</t>
  </si>
  <si>
    <t>Coût total</t>
  </si>
  <si>
    <t>Portions produites</t>
  </si>
  <si>
    <t>Portions consommées</t>
  </si>
  <si>
    <t>Portions vendues</t>
  </si>
  <si>
    <t>Calcul prix revente cuisto (€)</t>
  </si>
  <si>
    <t>Prix revente cuisto (€)</t>
  </si>
  <si>
    <t>Prix revente site (€)</t>
  </si>
  <si>
    <t>TEST RECETTE</t>
  </si>
  <si>
    <t>PRODUCTION / REVENTE SITE</t>
  </si>
  <si>
    <t xml:space="preserve">Portions à produire </t>
  </si>
  <si>
    <t>Portions à consommer</t>
  </si>
  <si>
    <t>Portions à vendre</t>
  </si>
  <si>
    <t>Gain site</t>
  </si>
  <si>
    <t>2 euros / vente</t>
  </si>
  <si>
    <t>Plat principal</t>
  </si>
  <si>
    <t>4 euros / vente</t>
  </si>
  <si>
    <t>Dessert / Patisserie</t>
  </si>
  <si>
    <t>Lentilles vertes bio - Jardin bio</t>
  </si>
  <si>
    <t>Poivrons jaunes (x2)</t>
  </si>
  <si>
    <t>Citron jaune bio</t>
  </si>
  <si>
    <t>?</t>
  </si>
  <si>
    <t>Steaks hachés (pur bœuf, 100% muscle)</t>
  </si>
  <si>
    <t>Lardons fumés (Auchan bio)</t>
  </si>
  <si>
    <t>Poivrons jaunes et rouge</t>
  </si>
  <si>
    <t>Crèmerie bio</t>
  </si>
  <si>
    <t>Flans au caramel</t>
  </si>
  <si>
    <t>Curry Poudre (35g) - Kg</t>
  </si>
  <si>
    <t>Citron vert - Pi</t>
  </si>
  <si>
    <t>Pulpe de tomates - Kg</t>
  </si>
  <si>
    <t>Lentilles vertes bio - Jardin bio - kg</t>
  </si>
  <si>
    <t>Poivrons jaunes (x2) - kg</t>
  </si>
  <si>
    <t>Steaks hachés (pur bœuf, 100% muscle) - kg</t>
  </si>
  <si>
    <t>Lardons fumés (Auchan bio) - kg</t>
  </si>
  <si>
    <t>Coulommiers (Auchan bio)</t>
  </si>
  <si>
    <t>Emmental rapé (200g)</t>
  </si>
  <si>
    <t>Yahourt Les 2 vaches myrtille bio</t>
  </si>
  <si>
    <t>Yahourt Les 2 vaches citron bio</t>
  </si>
  <si>
    <t>Epicerie bio</t>
  </si>
  <si>
    <t>Chips nature bio (huile de tournesol)</t>
  </si>
  <si>
    <t>Sticks et bretzels bio</t>
  </si>
  <si>
    <t>Noix de cajou bio grillés et salées (Equitable)</t>
  </si>
  <si>
    <t>Pâtes bio</t>
  </si>
  <si>
    <t>Pennette bio (Barilla)</t>
  </si>
  <si>
    <t>Chair de tomates bio (Auchan bio)</t>
  </si>
  <si>
    <t>Jus bio</t>
  </si>
  <si>
    <t>Pur jus d'orange (Auchan bio)</t>
  </si>
  <si>
    <t>Lait de coco (400ml)</t>
  </si>
  <si>
    <t>Lait de coco (225 ml, Le Jardin bio)</t>
  </si>
  <si>
    <t>Lait de coco (400ml) - l</t>
  </si>
  <si>
    <t>Oignon bio Auchan (143g/oignon)</t>
  </si>
  <si>
    <t>Oignon bio Auchan (143g/oignon) - Kg</t>
  </si>
  <si>
    <t>Coriandre</t>
  </si>
  <si>
    <t>Coriandre - kg</t>
  </si>
  <si>
    <t>Poulet (filets)</t>
  </si>
  <si>
    <t>Poulet (filets) - kg</t>
  </si>
  <si>
    <t>Basmati bio (Priméal, 500g) - kg</t>
  </si>
  <si>
    <t>Spaghetti (Monoprix bio, 500g)</t>
  </si>
  <si>
    <t>Spaghetti (Monoprix bio, 500g) - kg</t>
  </si>
  <si>
    <t>Emmental rapé (200g) - kg</t>
  </si>
  <si>
    <t>Couper les oignons et faire frire dans l'huile d'olive</t>
  </si>
  <si>
    <t>Couper les poivrons, rajouter aux oignons, puis rajouter la viande ; mélanger le tout et faire frire 5 min, juste à ce que la viande soit cuite</t>
  </si>
  <si>
    <t xml:space="preserve">Rajouter la pulpe de tomates et l'aile coupé en petits morceaux ; saler et poivrer </t>
  </si>
  <si>
    <t>Faire buire de l'eau, puis rajouter un peu de sel, 10ml d'huile d'olive et les spaghétti</t>
  </si>
  <si>
    <t>Egoutter les spaghetti ; répartissez sur les assiettes avec la sauce, et rajouter l'emmental rapé</t>
  </si>
  <si>
    <t>Couper, puis frire les oignons dans l'huile d'olive</t>
  </si>
  <si>
    <t>laver les lentilles</t>
  </si>
  <si>
    <t>rajouter le curry aux oignons, laisser cuire 2 min., puis rajouter le lait de coco, la pulpe de tomates et 10 cl d'eau</t>
  </si>
  <si>
    <t>Laisser mijoter 3 min, puis rajouter les lentilles et continuer à laisser mijoter</t>
  </si>
  <si>
    <t>Couper la viande en moreaux, faire frire à la poile 5 - 10 min, puis rajouter aux lentilles</t>
  </si>
  <si>
    <t>Faire cuire le riz</t>
  </si>
  <si>
    <t>Laisser cuire au total 30 min, puis répartisser le curry de lentilles sur les assiettes avec une louche de riz</t>
  </si>
  <si>
    <t>Mettre un peu de jus de citron vert sur le curry de lentilles</t>
  </si>
  <si>
    <t>Moutarde de Dijon bio (200g)</t>
  </si>
  <si>
    <t>Moutarde de Dijon bio (200g) - kg</t>
  </si>
  <si>
    <t>Récette</t>
  </si>
  <si>
    <t>Tarte tomates-moutardes</t>
  </si>
  <si>
    <t>Curry lentilles poulet</t>
  </si>
  <si>
    <t>Spaghetti bolognaise</t>
  </si>
  <si>
    <t>Gnocchi à la dinde</t>
  </si>
  <si>
    <t>Brioche</t>
  </si>
  <si>
    <t>Prix de vente TTC</t>
  </si>
  <si>
    <t>Prix de vente HT</t>
  </si>
  <si>
    <t>Coût de production</t>
  </si>
  <si>
    <t>Production (n° portions)</t>
  </si>
  <si>
    <t>Vente          (n° portions)</t>
  </si>
  <si>
    <t>Prix du cuisto</t>
  </si>
  <si>
    <t>Desserts / patisserie (par portion)</t>
  </si>
  <si>
    <t>Viennoiserie (par portion)</t>
  </si>
  <si>
    <t>Wok exotique</t>
  </si>
  <si>
    <t>Poulet noir fermier bio (filets)</t>
  </si>
  <si>
    <t>Carottes bio - Kg</t>
  </si>
  <si>
    <t>Huile Coco (20cl) - L</t>
  </si>
  <si>
    <t>Poivrons jaunes et rouge - kg</t>
  </si>
  <si>
    <t>Noix de cajou bio grillés et salées (Equitable) - kg</t>
  </si>
  <si>
    <t>Sauce Soja (Shoyu Classique 145ml) - L</t>
  </si>
  <si>
    <t>Piment d'Espelette (Puréé)</t>
  </si>
  <si>
    <t>Piment d'Espelette (Puréé) - Kg</t>
  </si>
  <si>
    <t>Riz Basmati bio (Priméal, 500g)</t>
  </si>
  <si>
    <t>Riz Basmati bio (Priméal, 500g) - kg</t>
  </si>
  <si>
    <t>Agneau (roti)</t>
  </si>
  <si>
    <t>Parmesan reggiano</t>
  </si>
  <si>
    <t>Panais</t>
  </si>
  <si>
    <t>Pommes de terre bio (non lavées)</t>
  </si>
  <si>
    <t>Roti d'agneau</t>
  </si>
  <si>
    <t>Agneau (roti) - kg</t>
  </si>
  <si>
    <t>Pommes de terre bio (non lavées) - kg</t>
  </si>
  <si>
    <t>Panais - kg</t>
  </si>
  <si>
    <t>Œufs fermier bio (Cocorette) - Pi</t>
  </si>
  <si>
    <t>Tortellini tomates-crème</t>
  </si>
  <si>
    <t>Tortelloni Epinard Pignons - Kg</t>
  </si>
  <si>
    <t>Chair de tomates bio (Auchan bio) - kg</t>
  </si>
  <si>
    <t>Prix revente site TTC (incl. TVA 5,5%)</t>
  </si>
  <si>
    <t>Site : gain vente directe (€)</t>
  </si>
  <si>
    <t>Prix achat hors taxe (5,5%)</t>
  </si>
  <si>
    <t>Site : gain revente entre particuliers (€)</t>
  </si>
  <si>
    <t>CIRCUIT PRODUITS / REPAS VIA MAGASIN BIO</t>
  </si>
  <si>
    <t>Reversement par le magasin bio : sur le prix des achats HT (n° portions produites)</t>
  </si>
  <si>
    <t>Magasin bio : gain</t>
  </si>
  <si>
    <t>Site : gain revente via magasin</t>
  </si>
  <si>
    <t>Gain revente (entre particuliers) (€)</t>
  </si>
  <si>
    <t>Revente entre particuliers</t>
  </si>
  <si>
    <t>Revente via magasin bio</t>
  </si>
  <si>
    <r>
      <t>Prix revente site (1</t>
    </r>
    <r>
      <rPr>
        <b/>
        <sz val="11"/>
        <color theme="1"/>
        <rFont val="Calibri"/>
        <family val="2"/>
      </rPr>
      <t>€ + 10% valeur achats)</t>
    </r>
  </si>
  <si>
    <t>Revente (4 portions)</t>
  </si>
  <si>
    <t>Reversement magasin bio (8 portions)</t>
  </si>
  <si>
    <t>Reversement par le  site : sur prix des achats HT, à la vente de repas par le magasin (n° de portions vendues)</t>
  </si>
  <si>
    <t>Reversement magasin bio (4 portions)</t>
  </si>
  <si>
    <t>Revente (2 portions)</t>
  </si>
  <si>
    <t>Prix de vente TTC (TVA 5,5%)</t>
  </si>
  <si>
    <t>Cuisinier : remboursement production</t>
  </si>
  <si>
    <t xml:space="preserve">Site (€) - vente  particuliers </t>
  </si>
  <si>
    <t xml:space="preserve">Site (€) - vente  magasin </t>
  </si>
  <si>
    <t>Magasin (€) - vente particuliers</t>
  </si>
  <si>
    <t>Prix (par portion)</t>
  </si>
  <si>
    <t>Synthèse prix et gain par recette</t>
  </si>
  <si>
    <t>Plats principaux</t>
  </si>
  <si>
    <t>Valeur achat</t>
  </si>
  <si>
    <t>Reversement site (4 portions)</t>
  </si>
  <si>
    <t xml:space="preserve">Magasin (€) - vente  magasin </t>
  </si>
  <si>
    <t>Reversement par le site : sur prix des achats HT, à la vente de repas par le magasin (n° de portions vendues)</t>
  </si>
  <si>
    <t>Reversement magasin bio (16 portions)</t>
  </si>
  <si>
    <t>Revente (8 portions)</t>
  </si>
  <si>
    <t>Reversement site (8 portions)</t>
  </si>
  <si>
    <t>Reversement magasin bio (40 portions)</t>
  </si>
  <si>
    <t>Revente (20 portions)</t>
  </si>
  <si>
    <t>Reversement magasin bio (20 portions)</t>
  </si>
  <si>
    <t>Chiffre d'affaire (par vente)</t>
  </si>
  <si>
    <t>CHIFFRE D'AFFAIRES DU SITE (8 portions produites, dont 4 revendues)</t>
  </si>
  <si>
    <t>CHIFFRE D'AFFAIRES DU SITE (16 portions produites, dont 8 revendues)</t>
  </si>
  <si>
    <t>CHIFFRE D'AFFAIRES DU SITE (40 portions produites, dont 20 revendues)</t>
  </si>
  <si>
    <t>CHIFFRE D'AFFAIRES DU SITE (4 portions produites, dont 2 revendues)</t>
  </si>
  <si>
    <t>CHIFFRE D'AFFAIRES DU MAGASIN BIO (4 portions produites, dont 2 revendues)</t>
  </si>
  <si>
    <t>CHIFFRE D'AFFAIRES DU MAGASIN BIO (40 portions produites, dont 20 revendues)</t>
  </si>
  <si>
    <t>CHIFFRE D'AFFAIRES DU MAGASIN BIO (8 portions produites, dont 4 revendues)</t>
  </si>
  <si>
    <t>Modèle recette</t>
  </si>
  <si>
    <t>Tajine poulet à la marocaine</t>
  </si>
  <si>
    <t>Lait bio 1/2 écrémé</t>
  </si>
  <si>
    <t>4 épices (mélange)</t>
  </si>
  <si>
    <t>Jambon blanc (4 tranches)</t>
  </si>
  <si>
    <t>Cote de porc (première)</t>
  </si>
  <si>
    <t>Poulet entier</t>
  </si>
  <si>
    <t>Bananes bio</t>
  </si>
  <si>
    <t>Raisins secs (Thompson bio)</t>
  </si>
  <si>
    <t>Céréales bio</t>
  </si>
  <si>
    <t>Semoule couscous</t>
  </si>
  <si>
    <t>Poulet entier - kg</t>
  </si>
  <si>
    <t>Raisins secs (Thompson bio) - kg</t>
  </si>
  <si>
    <t>Tomates ronde bio - Kg</t>
  </si>
  <si>
    <t>Paprika doux (Cook)</t>
  </si>
  <si>
    <t>Canelle en poudre (bio)</t>
  </si>
  <si>
    <t>Cumin moulu (poudre)</t>
  </si>
  <si>
    <t>Safran moulu (Cook)</t>
  </si>
  <si>
    <t>Cube légumes dégraissé (9 x 10g)</t>
  </si>
  <si>
    <t>Cube Legume (6 cubes ; 60g)</t>
  </si>
  <si>
    <t>Miel d'acacia (bio) - Mességué</t>
  </si>
  <si>
    <t>Paprika doux (Cook) - kg</t>
  </si>
  <si>
    <t>4 épices (mélange) - kg</t>
  </si>
  <si>
    <t>Canelle en poudre (bio) - kg</t>
  </si>
  <si>
    <t>Cumin moulu (poudre) - kg</t>
  </si>
  <si>
    <t>Safran moulu (Cook) - kg</t>
  </si>
  <si>
    <t>Gingembre frais bio - Kg</t>
  </si>
  <si>
    <t>Pois chiches</t>
  </si>
  <si>
    <t>Pois chiches - kg</t>
  </si>
  <si>
    <t>Cube Legume (6 cubes ; 60g) - Kg</t>
  </si>
  <si>
    <t>Citron jaune bio - kg</t>
  </si>
  <si>
    <t>Miel d'acacia (bio) - Mességué - kg</t>
  </si>
  <si>
    <t>Semoule couscous - kg</t>
  </si>
  <si>
    <t>à tester !!</t>
  </si>
  <si>
    <t>idéalement : cuisses de poulet !!</t>
  </si>
  <si>
    <t>Retirer la peau du poulet (cuisses de poulet) : 3 min</t>
  </si>
  <si>
    <t>Pendant la cuisson du poulet, mettre les tomates dans de l'eau bouillante (avec la peau légerment coupé à deux endroits); laisser les remposer dans l'eau quelques minutes ; pendant ce temps là, couper l'oignon en rondelles; puis retirer les tomates de l'eau, les peler et couper en dés</t>
  </si>
  <si>
    <t>Retirer les moreaux de poulets dès qu'ils sont bien dorés, et faire cuire les rondelles d'oignon dans la craisse du poulet</t>
  </si>
  <si>
    <t xml:space="preserve">Pendant la cuisson de l'oignon, peler et hacher les gousses d'ail et les mélager avec les épices dans un bol </t>
  </si>
  <si>
    <t>Couper le citron et faire fondre le cube</t>
  </si>
  <si>
    <t>Dorer les moreaux de poulet dans une grande marmite / poelle, avec 4 cuilleres à soupe d'huile d'olive</t>
  </si>
  <si>
    <t>Rajouter à la marmite le citron, les tomates, les morceaux de poulet, le mélange d'épice à la cocotte, le cube fondu, le miel, les raisins et les poids chiches</t>
  </si>
  <si>
    <t>Rajouter sel, pouvre, puis mélanger !</t>
  </si>
  <si>
    <t>Laisser mijoter 90 minutes (sur le feu doux ou au four à 150°C)</t>
  </si>
  <si>
    <t>Crêpes</t>
  </si>
  <si>
    <t>Lait bio 1/2 écrémé - l</t>
  </si>
  <si>
    <t>Sucre vanillé - Alter Eco (Madagascar coop KOMEM) (bio)</t>
  </si>
  <si>
    <t>Sucre vanillé - Alter Eco (Madagascar coop KOMEM) (bio) - Kg</t>
  </si>
  <si>
    <r>
      <t>Prix revente site (0,25</t>
    </r>
    <r>
      <rPr>
        <b/>
        <sz val="11"/>
        <color theme="1"/>
        <rFont val="Calibri"/>
        <family val="2"/>
      </rPr>
      <t>€ + 10% valeur achats)</t>
    </r>
  </si>
  <si>
    <r>
      <t>Prix revente site (0,50</t>
    </r>
    <r>
      <rPr>
        <b/>
        <sz val="11"/>
        <color theme="1"/>
        <rFont val="Calibri"/>
        <family val="2"/>
      </rPr>
      <t>€ + 10% valeur achats)</t>
    </r>
  </si>
  <si>
    <r>
      <t>Prix revente site (0,10</t>
    </r>
    <r>
      <rPr>
        <b/>
        <sz val="11"/>
        <color theme="1"/>
        <rFont val="Calibri"/>
        <family val="2"/>
      </rPr>
      <t>€ + 10% valeur achats)</t>
    </r>
  </si>
  <si>
    <t>4 min pâte + 1min par crêpe</t>
  </si>
  <si>
    <t>Pintade au curcuma</t>
  </si>
  <si>
    <t>Pintage (roti)</t>
  </si>
  <si>
    <t>Céléri branche (bio)</t>
  </si>
  <si>
    <t>Champignon Blond</t>
  </si>
  <si>
    <t>Champignon Blanc Paris</t>
  </si>
  <si>
    <t>Oignon jaune (bio)</t>
  </si>
  <si>
    <t>Echalottes</t>
  </si>
  <si>
    <t>Navets</t>
  </si>
  <si>
    <t>Oranges</t>
  </si>
  <si>
    <t>Crème fleurette (30%MG)</t>
  </si>
  <si>
    <t>Œufs (10) CAL 53/63 Moyen</t>
  </si>
  <si>
    <t>Œufs fermier bio (6) - Cocorette</t>
  </si>
  <si>
    <t>Emmental rapé (100g - 29%MG)</t>
  </si>
  <si>
    <t>Fromage à la coupe - Douceur du Tarn (26%MG)</t>
  </si>
  <si>
    <t>Fromage à la coupe - Cantal entre deux AOP</t>
  </si>
  <si>
    <t>Fromage à la coupe - Le Grand Ribeaupierre</t>
  </si>
  <si>
    <t>Pintage (roti) - kg</t>
  </si>
  <si>
    <t>Navets - Kg</t>
  </si>
  <si>
    <t>Oranges - kg</t>
  </si>
  <si>
    <t>Echalottes - kg</t>
  </si>
  <si>
    <t>Vin blanc Soleiller (25cl) - L</t>
  </si>
  <si>
    <t>Alcool</t>
  </si>
  <si>
    <t>Noilly Prat</t>
  </si>
  <si>
    <t>Nicolas St Charles</t>
  </si>
  <si>
    <t>Noilly Prat - L</t>
  </si>
  <si>
    <t>Crème fleurette (30%MG) - l</t>
  </si>
  <si>
    <t>Curcuma frais bio - Kg</t>
  </si>
  <si>
    <t>Poisson bio</t>
  </si>
  <si>
    <t>Couper le curcuma en tout petits morceaux, puis faire revenir dans la cocotte, avec du beurre et les morceaux de pintade</t>
  </si>
  <si>
    <t>rajouter le vin et le sel, puis laisser mijoter pendant 20 min</t>
  </si>
  <si>
    <t>Couper les navets en dés, et faire cuire avec du beurre dans une poelle</t>
  </si>
  <si>
    <t>Une fois les navets cuits, les sortir de la poelle et réserver ; faire fondre du beurre dans la poelle, rajouter le sucre, caraméliser, puis rajouter les navets cuits et mélanger</t>
  </si>
  <si>
    <t>Pendant la cuisson, presser l'orange et le citron vert ; couper les échalottes en moreaux fins</t>
  </si>
  <si>
    <t>Après la cuisson de la pintade, sortir les moreaux et réserver dans du papier alu ; réserver le jus de la cuisson dans un bol, puis faire cuire les échalottes dans la poelle ; verser le Noilly Prat et laisser cuire 3 min ; puis rajouter les jus de fruits et le jus de cuisson ; faire réduire de moitié, puis rajouter la crème</t>
  </si>
  <si>
    <t>Servir la pintade, avec la sauce, les navets et pommes de terre</t>
  </si>
  <si>
    <t>Mettre les pommes de terre à cuire à la vapeur</t>
  </si>
  <si>
    <t>Blanquette de poisson</t>
  </si>
  <si>
    <t>Poisson sauvage</t>
  </si>
  <si>
    <t>Cabillaud (filets) - Findus</t>
  </si>
  <si>
    <t>Cabillaud (filets) - Findus - Pi</t>
  </si>
  <si>
    <t>Champignon Blond - kg</t>
  </si>
  <si>
    <t>Oignon jaune (bio) - Kg</t>
  </si>
  <si>
    <t>Vin blanc Sylvaner (75cl)</t>
  </si>
  <si>
    <t>Simply</t>
  </si>
  <si>
    <t>Vin blanc Sylvaner (75cl) - L</t>
  </si>
  <si>
    <t>Céléri branche (bio) - kg</t>
  </si>
  <si>
    <t>Poireau - Kg</t>
  </si>
  <si>
    <t>Cêpes déshydratées (30g)</t>
  </si>
  <si>
    <t>Poulet (cuisses)</t>
  </si>
  <si>
    <t>Veau (escaloppe)</t>
  </si>
  <si>
    <t>Veau (pavé à griller)</t>
  </si>
  <si>
    <t>Crème fraiche épaisse (30%MG)</t>
  </si>
  <si>
    <t>Risotto aux cêpes</t>
  </si>
  <si>
    <t>Riz long Risotto</t>
  </si>
  <si>
    <t>Riz long Risotto - kg</t>
  </si>
  <si>
    <t>Crème fraiche épaisse (30%MG) - L</t>
  </si>
  <si>
    <t>Parmesan reggiano - kg</t>
  </si>
  <si>
    <t>Cêpes déshydratées (30g) - kg</t>
  </si>
  <si>
    <t>Faire fondre les 2 cubes dans 500ml d'eau bouillante</t>
  </si>
  <si>
    <t>Réhydrater les cêpes séchés dans de l'eau chaude</t>
  </si>
  <si>
    <t>Emmental rapé (100g - 29%MG) - kg</t>
  </si>
  <si>
    <t>hacher l'ail et rajouter aux échalottes, avec les cêpes ; puis le vin</t>
  </si>
  <si>
    <t>faire chauffer la crème et mélanger 1/3 des cêpes avec la crème chaude</t>
  </si>
  <si>
    <t>rajouter le riz dans la casserolle, faire frire 3 minutes, puis rajouter le bouillons et la crème en 3 étapes ; remuer et attendre que le riz boive la liquide, entre chaque étape</t>
  </si>
  <si>
    <t>couper les échalottes et faire cuire dans de l'huile, dans une casserolle</t>
  </si>
  <si>
    <t>quand le riz a bu l'essentiel du liquide et qu'il est suffisamment cuit, mélanger avec le parmeson, puis servir tout de suite</t>
  </si>
  <si>
    <t>Sesame Blond complet (250g)</t>
  </si>
  <si>
    <t>Amandes entières blanches (vrac)</t>
  </si>
  <si>
    <t>Beurre Doux de Barrate (250g)</t>
  </si>
  <si>
    <t>Bouciaut</t>
  </si>
  <si>
    <t>Tomates concassées (400g)</t>
  </si>
  <si>
    <t>Ail sec (vrac)</t>
  </si>
  <si>
    <t>Compote de pommes (allégée en suc)</t>
  </si>
  <si>
    <t>Nectar de Goyave (Sirop Agave)</t>
  </si>
  <si>
    <t>Jus de Mandarine (1L)</t>
  </si>
  <si>
    <t>Rostbeef</t>
  </si>
  <si>
    <t>Bill the Butcher (St Charles)</t>
  </si>
  <si>
    <t>Saucisses pour Rougail (type Montbéliard)</t>
  </si>
  <si>
    <t>Ro</t>
  </si>
  <si>
    <t>Rostbeef à la moutarde</t>
  </si>
  <si>
    <t>Haricots verts bio (surgelé Picard)</t>
  </si>
  <si>
    <t>Rostbeef - kg</t>
  </si>
  <si>
    <t>Haricots verts bio (surgelé Picard) - kg</t>
  </si>
  <si>
    <t>Huile d'Olive 3L BJP (Biovenue)</t>
  </si>
  <si>
    <t>Biocoop Bouciaut</t>
  </si>
  <si>
    <t>Riz Basmati bio demi-complet (Vrac)</t>
  </si>
  <si>
    <t>Café bio</t>
  </si>
  <si>
    <t>Café Pérou Grains (Vrac)</t>
  </si>
  <si>
    <t>Rougail saucisse</t>
  </si>
  <si>
    <t>Saucisses pour Rougail (type Montbéliard) - kg</t>
  </si>
  <si>
    <t>Tomates concassées (400g) - kg</t>
  </si>
  <si>
    <t>Ail sec (vrac) - kg</t>
  </si>
  <si>
    <t>Riz Basmati bio demi-complet (Vrac) - Kg</t>
  </si>
  <si>
    <t>Salade</t>
  </si>
  <si>
    <t>Yahourt Bifidus Citron (4x125g)</t>
  </si>
  <si>
    <t>Thé bio</t>
  </si>
  <si>
    <t>The noir Breakfast Ceylan 20</t>
  </si>
  <si>
    <t>Vin bio</t>
  </si>
  <si>
    <t>Vin rouge Farigoulette</t>
  </si>
  <si>
    <t>Vin rouge Vaucluse Show Vin</t>
  </si>
  <si>
    <t>Amandes Blanche poudre (en vrac)</t>
  </si>
  <si>
    <t>Saucisson Sec Pur Porc (200g)</t>
  </si>
  <si>
    <t>Apéros</t>
  </si>
  <si>
    <t>Gressin Epautre Pur (125g)</t>
  </si>
  <si>
    <t>Huile de tournesol Desodorisée</t>
  </si>
  <si>
    <t>Vinaigre de Vin blanc</t>
  </si>
  <si>
    <t>Truite filet</t>
  </si>
  <si>
    <t>Marché St Charles</t>
  </si>
  <si>
    <t>Citron jaune bio - Pi</t>
  </si>
  <si>
    <t>Persil Plat (18g) - Kg</t>
  </si>
  <si>
    <t>Huile d'Olive 3L BJP (Biovenue) - L</t>
  </si>
  <si>
    <t>Agneau curry-citron</t>
  </si>
  <si>
    <t>Mélanger la crème, le curry, le jus de citron, le persil, sel et poivre pour faire une marinade</t>
  </si>
  <si>
    <t>Couper la viande en morceaux, mélanger avec la marinade et mariner pendant 15-20 min.</t>
  </si>
  <si>
    <t>Couper les échalotte et le gingembre.</t>
  </si>
  <si>
    <t xml:space="preserve">Frire les morceaux de viande dans de l'huile d'olive, dans une sauteuse, pendant ca. 10 min, en les retournant régulièrement. </t>
  </si>
  <si>
    <t xml:space="preserve">Réserver la viande. Fire les échalottes et le gingembre, puis ajouter la mariade. Faire cuire ca. 3 minutes pour faire une sauce, laisser réduire un peu. </t>
  </si>
  <si>
    <t>Rajouter la viande et server avec du riz.</t>
  </si>
  <si>
    <t>Truite aux amandes</t>
  </si>
  <si>
    <t>Truite filet - Kg</t>
  </si>
  <si>
    <t>Œufs (10) CAL 53/63 Moyen - Pi</t>
  </si>
  <si>
    <t>Amandes Blanche poudre (en vrac) - kg</t>
  </si>
  <si>
    <t>Huile de tournesol Desodorisée - L</t>
  </si>
  <si>
    <t>Ciboulette bio surgelé (Darégal)</t>
  </si>
  <si>
    <t>Ciboulette bio surgelé (Darégal) - kg</t>
  </si>
  <si>
    <t>Capres bio (vinaigre) - Le Jardin bio</t>
  </si>
  <si>
    <t>Capres bio (vinaigre) - Le Jardin bio - kg</t>
  </si>
  <si>
    <t>Cornichon (vinaigre) - La Jardin bio</t>
  </si>
  <si>
    <t>Cornichon (vinaigre) - La Jardin bio - kg</t>
  </si>
  <si>
    <t>Pommes bio rouge</t>
  </si>
  <si>
    <t>Mandarines</t>
  </si>
  <si>
    <t>Jus d'orange Tetra (1,5L)</t>
  </si>
  <si>
    <t>Pain complet seigle epeautre</t>
  </si>
  <si>
    <t>Café Tresor des Peuple Grains</t>
  </si>
  <si>
    <t>Cidre doux Briard bio (Seine et Marne)</t>
  </si>
  <si>
    <t>Thym bio (50g - Herbier de France)</t>
  </si>
  <si>
    <t>Moyenne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</si>
</sst>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00"/>
    <numFmt numFmtId="166" formatCode="#,##0.00\ &quot;€&quot;"/>
  </numFmts>
  <fonts count="7" x14ac:knownFonts="1">
    <font>
      <sz val="11"/>
      <color theme="1"/>
      <name val="Calibri"/>
      <family val="2"/>
      <scheme val="minor"/>
    </font>
    <font>
      <b/>
      <sz val="11"/>
      <color theme="1"/>
      <name val="Calibri"/>
      <family val="2"/>
      <scheme val="minor"/>
    </font>
    <font>
      <b/>
      <sz val="11"/>
      <color theme="1"/>
      <name val="Calibri"/>
      <family val="2"/>
    </font>
    <font>
      <sz val="11"/>
      <name val="Calibri"/>
      <family val="2"/>
      <scheme val="minor"/>
    </font>
    <font>
      <i/>
      <sz val="11"/>
      <color theme="1"/>
      <name val="Calibri"/>
      <family val="2"/>
      <scheme val="minor"/>
    </font>
    <font>
      <sz val="8"/>
      <name val="Calibri"/>
      <family val="2"/>
      <scheme val="minor"/>
    </font>
    <font>
      <b/>
      <sz val="11"/>
      <name val="Calibri"/>
      <family val="2"/>
      <scheme val="minor"/>
    </font>
  </fonts>
  <fills count="9">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lightUp"/>
    </fill>
    <fill>
      <patternFill patternType="solid">
        <fgColor theme="5" tint="0.59999389629810485"/>
        <bgColor indexed="64"/>
      </patternFill>
    </fill>
    <fill>
      <patternFill patternType="solid">
        <fgColor rgb="FF00B0F0"/>
        <bgColor indexed="64"/>
      </patternFill>
    </fill>
    <fill>
      <patternFill patternType="solid">
        <fgColor theme="4" tint="0.79998168889431442"/>
        <bgColor indexed="64"/>
      </patternFill>
    </fill>
    <fill>
      <patternFill patternType="solid">
        <fgColor theme="5" tint="0.79998168889431442"/>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1">
    <xf numFmtId="0" fontId="0" fillId="0" borderId="0"/>
  </cellStyleXfs>
  <cellXfs count="156">
    <xf numFmtId="0" fontId="0" fillId="0" borderId="0" xfId="0"/>
    <xf numFmtId="0" fontId="1" fillId="0" borderId="0" xfId="0" applyFont="1"/>
    <xf numFmtId="0" fontId="1" fillId="0" borderId="1" xfId="0" applyFont="1" applyBorder="1"/>
    <xf numFmtId="4" fontId="0" fillId="0" borderId="1" xfId="0" applyNumberFormat="1" applyBorder="1"/>
    <xf numFmtId="164" fontId="0" fillId="0" borderId="1" xfId="0" applyNumberFormat="1" applyBorder="1"/>
    <xf numFmtId="165" fontId="1" fillId="0" borderId="1" xfId="0" applyNumberFormat="1" applyFont="1" applyBorder="1"/>
    <xf numFmtId="165" fontId="0" fillId="0" borderId="1" xfId="0" applyNumberFormat="1" applyBorder="1"/>
    <xf numFmtId="0" fontId="0" fillId="0" borderId="1" xfId="0" applyBorder="1"/>
    <xf numFmtId="4" fontId="3" fillId="0" borderId="1" xfId="0" applyNumberFormat="1" applyFont="1" applyBorder="1"/>
    <xf numFmtId="4" fontId="1" fillId="0" borderId="1" xfId="0" applyNumberFormat="1" applyFont="1" applyBorder="1"/>
    <xf numFmtId="0" fontId="3" fillId="0" borderId="1" xfId="0" applyFont="1" applyBorder="1"/>
    <xf numFmtId="0" fontId="0" fillId="0" borderId="1" xfId="0" applyFill="1" applyBorder="1"/>
    <xf numFmtId="4" fontId="0" fillId="0" borderId="1" xfId="0" applyNumberFormat="1" applyFill="1" applyBorder="1"/>
    <xf numFmtId="2" fontId="1" fillId="0" borderId="1" xfId="0" applyNumberFormat="1" applyFont="1" applyBorder="1"/>
    <xf numFmtId="2" fontId="0" fillId="0" borderId="0" xfId="0" applyNumberFormat="1" applyBorder="1"/>
    <xf numFmtId="2" fontId="0" fillId="0" borderId="0" xfId="0" applyNumberFormat="1" applyFill="1" applyBorder="1"/>
    <xf numFmtId="2" fontId="1" fillId="0" borderId="1" xfId="0" applyNumberFormat="1" applyFont="1" applyFill="1" applyBorder="1"/>
    <xf numFmtId="2" fontId="0" fillId="0" borderId="1" xfId="0" applyNumberFormat="1" applyFill="1" applyBorder="1"/>
    <xf numFmtId="1" fontId="1" fillId="0" borderId="1" xfId="0" applyNumberFormat="1" applyFont="1" applyBorder="1"/>
    <xf numFmtId="0" fontId="3" fillId="0" borderId="1" xfId="0" applyFont="1" applyFill="1" applyBorder="1"/>
    <xf numFmtId="4" fontId="3" fillId="0" borderId="1" xfId="0" applyNumberFormat="1" applyFont="1" applyFill="1" applyBorder="1"/>
    <xf numFmtId="165" fontId="3" fillId="0" borderId="1" xfId="0" applyNumberFormat="1" applyFont="1" applyFill="1" applyBorder="1"/>
    <xf numFmtId="165" fontId="3" fillId="0" borderId="1" xfId="0" applyNumberFormat="1" applyFont="1" applyBorder="1"/>
    <xf numFmtId="0" fontId="1" fillId="0" borderId="1" xfId="0" applyFont="1" applyFill="1" applyBorder="1"/>
    <xf numFmtId="2" fontId="0" fillId="2" borderId="1" xfId="0" applyNumberFormat="1" applyFill="1" applyBorder="1"/>
    <xf numFmtId="1" fontId="1" fillId="0" borderId="1" xfId="0" applyNumberFormat="1" applyFont="1" applyFill="1" applyBorder="1"/>
    <xf numFmtId="0" fontId="0" fillId="0" borderId="2" xfId="0" applyFill="1" applyBorder="1"/>
    <xf numFmtId="165" fontId="0" fillId="0" borderId="1" xfId="0" applyNumberFormat="1" applyFill="1" applyBorder="1"/>
    <xf numFmtId="0" fontId="1" fillId="0" borderId="1" xfId="0" applyFont="1" applyBorder="1" applyAlignment="1">
      <alignment horizontal="center" vertical="center" wrapText="1"/>
    </xf>
    <xf numFmtId="0" fontId="0" fillId="2" borderId="0" xfId="0" applyFill="1"/>
    <xf numFmtId="4" fontId="0" fillId="2" borderId="1" xfId="0" applyNumberFormat="1" applyFill="1" applyBorder="1"/>
    <xf numFmtId="165" fontId="0" fillId="2" borderId="1" xfId="0" applyNumberFormat="1" applyFill="1" applyBorder="1"/>
    <xf numFmtId="165" fontId="0" fillId="2" borderId="1" xfId="0" applyNumberFormat="1" applyFont="1" applyFill="1" applyBorder="1"/>
    <xf numFmtId="165" fontId="3" fillId="2" borderId="1" xfId="0" applyNumberFormat="1" applyFont="1" applyFill="1" applyBorder="1"/>
    <xf numFmtId="2" fontId="1" fillId="2" borderId="1" xfId="0" applyNumberFormat="1" applyFont="1" applyFill="1" applyBorder="1"/>
    <xf numFmtId="0" fontId="0" fillId="2" borderId="1" xfId="0" applyFill="1" applyBorder="1"/>
    <xf numFmtId="0" fontId="1" fillId="0" borderId="1" xfId="0" applyFont="1" applyFill="1" applyBorder="1" applyAlignment="1">
      <alignment horizontal="center" vertical="center" wrapText="1"/>
    </xf>
    <xf numFmtId="0" fontId="0" fillId="2" borderId="0" xfId="0" applyFill="1" applyAlignment="1">
      <alignment wrapText="1"/>
    </xf>
    <xf numFmtId="0" fontId="0" fillId="0" borderId="0" xfId="0" applyFill="1"/>
    <xf numFmtId="0" fontId="1" fillId="0" borderId="0" xfId="0" applyFont="1" applyBorder="1"/>
    <xf numFmtId="0" fontId="0" fillId="0" borderId="0" xfId="0" applyBorder="1"/>
    <xf numFmtId="0" fontId="0" fillId="4" borderId="1" xfId="0" applyFill="1" applyBorder="1"/>
    <xf numFmtId="0" fontId="0" fillId="0" borderId="1" xfId="0" applyBorder="1" applyAlignment="1">
      <alignment wrapText="1"/>
    </xf>
    <xf numFmtId="0" fontId="1" fillId="3" borderId="0" xfId="0" applyFont="1" applyFill="1" applyAlignment="1"/>
    <xf numFmtId="0" fontId="0" fillId="3" borderId="0" xfId="0" applyFill="1" applyAlignment="1"/>
    <xf numFmtId="0" fontId="1" fillId="0" borderId="1" xfId="0" applyFont="1" applyBorder="1" applyAlignment="1">
      <alignment horizontal="center" vertical="center"/>
    </xf>
    <xf numFmtId="0" fontId="1" fillId="0" borderId="1" xfId="0" applyFont="1" applyFill="1" applyBorder="1" applyAlignment="1">
      <alignment horizontal="center" vertical="center"/>
    </xf>
    <xf numFmtId="1" fontId="1" fillId="0" borderId="1" xfId="0" applyNumberFormat="1" applyFont="1" applyBorder="1" applyAlignment="1">
      <alignment horizontal="center" vertical="center"/>
    </xf>
    <xf numFmtId="1" fontId="1" fillId="0" borderId="1" xfId="0" applyNumberFormat="1" applyFont="1" applyFill="1" applyBorder="1" applyAlignment="1">
      <alignment horizontal="center" vertical="center"/>
    </xf>
    <xf numFmtId="2" fontId="4" fillId="0" borderId="0" xfId="0" applyNumberFormat="1" applyFont="1" applyFill="1" applyBorder="1"/>
    <xf numFmtId="2" fontId="1" fillId="0" borderId="1" xfId="0" applyNumberFormat="1" applyFont="1" applyFill="1" applyBorder="1" applyAlignment="1">
      <alignment horizontal="center" vertical="center"/>
    </xf>
    <xf numFmtId="2" fontId="1" fillId="4" borderId="1" xfId="0" applyNumberFormat="1" applyFont="1" applyFill="1" applyBorder="1" applyAlignment="1">
      <alignment horizontal="center" vertical="center"/>
    </xf>
    <xf numFmtId="2" fontId="0" fillId="4" borderId="1" xfId="0" applyNumberFormat="1" applyFill="1" applyBorder="1"/>
    <xf numFmtId="9" fontId="0" fillId="0" borderId="1" xfId="0" applyNumberFormat="1" applyFill="1" applyBorder="1"/>
    <xf numFmtId="166" fontId="0" fillId="0" borderId="1" xfId="0" applyNumberFormat="1" applyFill="1" applyBorder="1"/>
    <xf numFmtId="2" fontId="1" fillId="0" borderId="1" xfId="0" applyNumberFormat="1" applyFont="1" applyFill="1" applyBorder="1" applyAlignment="1">
      <alignment wrapText="1"/>
    </xf>
    <xf numFmtId="2" fontId="1" fillId="4" borderId="1" xfId="0" applyNumberFormat="1" applyFont="1" applyFill="1" applyBorder="1"/>
    <xf numFmtId="2" fontId="1" fillId="0" borderId="0" xfId="0" applyNumberFormat="1" applyFont="1" applyFill="1" applyBorder="1"/>
    <xf numFmtId="0" fontId="1" fillId="0" borderId="0" xfId="0" applyFont="1" applyFill="1" applyBorder="1"/>
    <xf numFmtId="9" fontId="0" fillId="2" borderId="1" xfId="0" applyNumberFormat="1" applyFill="1" applyBorder="1"/>
    <xf numFmtId="0" fontId="0" fillId="0" borderId="0" xfId="0" applyFill="1" applyBorder="1"/>
    <xf numFmtId="0" fontId="1" fillId="3" borderId="0" xfId="0" applyFont="1" applyFill="1" applyAlignment="1"/>
    <xf numFmtId="0" fontId="0" fillId="3" borderId="0" xfId="0" applyFill="1" applyAlignment="1"/>
    <xf numFmtId="0" fontId="0" fillId="3" borderId="0" xfId="0" applyFill="1"/>
    <xf numFmtId="4" fontId="0" fillId="0" borderId="0" xfId="0" applyNumberFormat="1" applyFill="1" applyBorder="1"/>
    <xf numFmtId="166" fontId="1" fillId="0" borderId="1" xfId="0" applyNumberFormat="1" applyFont="1" applyFill="1" applyBorder="1"/>
    <xf numFmtId="0" fontId="3" fillId="3" borderId="1" xfId="0" applyFont="1" applyFill="1" applyBorder="1"/>
    <xf numFmtId="0" fontId="0" fillId="5" borderId="0" xfId="0" applyFill="1"/>
    <xf numFmtId="0" fontId="1" fillId="5" borderId="0" xfId="0" applyFont="1" applyFill="1"/>
    <xf numFmtId="0" fontId="0" fillId="5" borderId="0" xfId="0" applyFill="1" applyBorder="1"/>
    <xf numFmtId="4" fontId="0" fillId="5" borderId="0" xfId="0" applyNumberFormat="1" applyFill="1" applyBorder="1"/>
    <xf numFmtId="0" fontId="1" fillId="5" borderId="0" xfId="0" applyFont="1" applyFill="1" applyBorder="1"/>
    <xf numFmtId="0" fontId="1" fillId="2" borderId="1" xfId="0" applyFont="1" applyFill="1" applyBorder="1"/>
    <xf numFmtId="0" fontId="1" fillId="0" borderId="0" xfId="0" applyFont="1" applyFill="1" applyAlignment="1"/>
    <xf numFmtId="0" fontId="0" fillId="0" borderId="0" xfId="0" applyFill="1" applyAlignment="1"/>
    <xf numFmtId="0" fontId="0" fillId="5" borderId="0" xfId="0" applyFill="1" applyAlignment="1"/>
    <xf numFmtId="2" fontId="1" fillId="5" borderId="0" xfId="0" applyNumberFormat="1" applyFont="1" applyFill="1" applyBorder="1"/>
    <xf numFmtId="0" fontId="3" fillId="5" borderId="0" xfId="0" applyFont="1" applyFill="1"/>
    <xf numFmtId="0" fontId="0" fillId="0" borderId="1" xfId="0" applyFont="1" applyFill="1" applyBorder="1"/>
    <xf numFmtId="0" fontId="0" fillId="0" borderId="1" xfId="0" applyFont="1" applyBorder="1"/>
    <xf numFmtId="165" fontId="0" fillId="0" borderId="0" xfId="0" applyNumberFormat="1" applyFill="1" applyBorder="1"/>
    <xf numFmtId="165" fontId="0" fillId="5" borderId="0" xfId="0" applyNumberFormat="1" applyFill="1" applyBorder="1"/>
    <xf numFmtId="0" fontId="3" fillId="6" borderId="1" xfId="0" applyFont="1" applyFill="1" applyBorder="1"/>
    <xf numFmtId="9" fontId="1" fillId="0" borderId="0" xfId="0" applyNumberFormat="1" applyFont="1" applyFill="1"/>
    <xf numFmtId="0" fontId="1" fillId="3" borderId="0" xfId="0" applyFont="1" applyFill="1" applyAlignment="1"/>
    <xf numFmtId="0" fontId="0" fillId="3" borderId="0" xfId="0" applyFill="1" applyAlignment="1"/>
    <xf numFmtId="164" fontId="3" fillId="0" borderId="1" xfId="0" applyNumberFormat="1" applyFont="1" applyBorder="1"/>
    <xf numFmtId="164" fontId="3" fillId="0" borderId="1" xfId="0" applyNumberFormat="1" applyFont="1" applyFill="1" applyBorder="1"/>
    <xf numFmtId="165" fontId="0" fillId="0" borderId="0" xfId="0" applyNumberFormat="1"/>
    <xf numFmtId="0" fontId="0" fillId="0" borderId="0" xfId="0" applyBorder="1" applyAlignment="1">
      <alignment horizontal="center" vertical="center"/>
    </xf>
    <xf numFmtId="0" fontId="1" fillId="7" borderId="1" xfId="0" applyFont="1" applyFill="1" applyBorder="1"/>
    <xf numFmtId="2" fontId="0" fillId="0" borderId="1" xfId="0" applyNumberFormat="1" applyBorder="1"/>
    <xf numFmtId="0" fontId="0" fillId="3" borderId="4" xfId="0" applyFill="1" applyBorder="1"/>
    <xf numFmtId="0" fontId="1" fillId="0" borderId="0" xfId="0" applyFont="1" applyFill="1" applyBorder="1" applyAlignment="1">
      <alignment horizontal="center" vertical="center" wrapText="1"/>
    </xf>
    <xf numFmtId="9" fontId="0" fillId="0" borderId="1" xfId="0" applyNumberFormat="1" applyBorder="1"/>
    <xf numFmtId="0" fontId="1" fillId="3" borderId="3" xfId="0" applyFont="1" applyFill="1" applyBorder="1"/>
    <xf numFmtId="0" fontId="0" fillId="3" borderId="6" xfId="0" applyFill="1" applyBorder="1"/>
    <xf numFmtId="0" fontId="1" fillId="3" borderId="6" xfId="0" applyFont="1" applyFill="1" applyBorder="1"/>
    <xf numFmtId="4" fontId="0" fillId="0" borderId="0" xfId="0" applyNumberFormat="1" applyBorder="1"/>
    <xf numFmtId="9" fontId="0" fillId="0" borderId="0" xfId="0" applyNumberFormat="1" applyBorder="1"/>
    <xf numFmtId="0" fontId="1" fillId="3" borderId="0" xfId="0" applyFont="1" applyFill="1" applyAlignment="1"/>
    <xf numFmtId="0" fontId="1" fillId="2" borderId="0" xfId="0" applyFont="1" applyFill="1"/>
    <xf numFmtId="0" fontId="1" fillId="2" borderId="0" xfId="0" applyFont="1" applyFill="1" applyBorder="1"/>
    <xf numFmtId="0" fontId="1" fillId="3" borderId="0" xfId="0" applyFont="1" applyFill="1" applyAlignment="1"/>
    <xf numFmtId="0" fontId="0" fillId="3" borderId="0" xfId="0" applyFill="1" applyAlignment="1"/>
    <xf numFmtId="164" fontId="1" fillId="0" borderId="1" xfId="0" applyNumberFormat="1" applyFont="1" applyBorder="1" applyAlignment="1">
      <alignment horizontal="center" vertical="center" wrapText="1"/>
    </xf>
    <xf numFmtId="164" fontId="0" fillId="0" borderId="1" xfId="0" applyNumberFormat="1" applyFill="1" applyBorder="1"/>
    <xf numFmtId="164" fontId="0" fillId="0" borderId="0" xfId="0" applyNumberFormat="1"/>
    <xf numFmtId="0" fontId="1" fillId="3" borderId="0" xfId="0" applyFont="1" applyFill="1" applyBorder="1"/>
    <xf numFmtId="0" fontId="1" fillId="0" borderId="1" xfId="0" applyFont="1" applyFill="1" applyBorder="1" applyAlignment="1">
      <alignment wrapText="1"/>
    </xf>
    <xf numFmtId="9" fontId="0" fillId="0" borderId="1" xfId="0" applyNumberFormat="1" applyFont="1" applyFill="1" applyBorder="1"/>
    <xf numFmtId="2" fontId="0" fillId="5" borderId="0" xfId="0" applyNumberFormat="1" applyFill="1" applyBorder="1"/>
    <xf numFmtId="9" fontId="1" fillId="0" borderId="1" xfId="0" applyNumberFormat="1" applyFont="1" applyFill="1" applyBorder="1" applyAlignment="1">
      <alignment horizontal="center" vertical="center"/>
    </xf>
    <xf numFmtId="2" fontId="3" fillId="2" borderId="1" xfId="0" applyNumberFormat="1" applyFont="1" applyFill="1" applyBorder="1"/>
    <xf numFmtId="2" fontId="3" fillId="0" borderId="0" xfId="0" applyNumberFormat="1" applyFont="1" applyFill="1" applyBorder="1"/>
    <xf numFmtId="2" fontId="6" fillId="2" borderId="1" xfId="0" applyNumberFormat="1" applyFont="1" applyFill="1" applyBorder="1"/>
    <xf numFmtId="0" fontId="0" fillId="0" borderId="5" xfId="0" applyBorder="1" applyAlignment="1">
      <alignment wrapText="1"/>
    </xf>
    <xf numFmtId="0" fontId="1" fillId="8" borderId="3" xfId="0" applyFont="1" applyFill="1" applyBorder="1"/>
    <xf numFmtId="0" fontId="0" fillId="8" borderId="4" xfId="0" applyFill="1" applyBorder="1"/>
    <xf numFmtId="2" fontId="0" fillId="0" borderId="5" xfId="0" applyNumberFormat="1" applyBorder="1"/>
    <xf numFmtId="0" fontId="1" fillId="0" borderId="1" xfId="0" applyFont="1" applyBorder="1" applyAlignment="1">
      <alignment wrapText="1"/>
    </xf>
    <xf numFmtId="0" fontId="1" fillId="0" borderId="0" xfId="0" applyFont="1" applyBorder="1" applyAlignment="1">
      <alignment wrapText="1"/>
    </xf>
    <xf numFmtId="2" fontId="1" fillId="0" borderId="0" xfId="0" applyNumberFormat="1" applyFont="1" applyBorder="1"/>
    <xf numFmtId="0" fontId="0" fillId="3" borderId="7" xfId="0" applyFill="1" applyBorder="1"/>
    <xf numFmtId="0" fontId="0" fillId="3" borderId="8" xfId="0" applyFill="1" applyBorder="1"/>
    <xf numFmtId="0" fontId="1" fillId="0" borderId="0" xfId="0" applyFont="1" applyFill="1" applyBorder="1" applyAlignment="1">
      <alignment horizontal="left"/>
    </xf>
    <xf numFmtId="0" fontId="1" fillId="0" borderId="6" xfId="0" applyFont="1" applyFill="1" applyBorder="1"/>
    <xf numFmtId="0" fontId="0" fillId="0" borderId="6" xfId="0" applyFill="1" applyBorder="1"/>
    <xf numFmtId="0" fontId="1" fillId="3" borderId="7" xfId="0" applyFont="1" applyFill="1" applyBorder="1"/>
    <xf numFmtId="0" fontId="1" fillId="0" borderId="3" xfId="0" applyFont="1" applyFill="1" applyBorder="1"/>
    <xf numFmtId="0" fontId="0" fillId="0" borderId="4" xfId="0" applyFill="1" applyBorder="1"/>
    <xf numFmtId="0" fontId="1" fillId="0" borderId="6" xfId="0" applyFont="1" applyFill="1" applyBorder="1" applyAlignment="1">
      <alignment horizontal="left"/>
    </xf>
    <xf numFmtId="0" fontId="0" fillId="3" borderId="0" xfId="0" applyFill="1" applyBorder="1"/>
    <xf numFmtId="0" fontId="1" fillId="8" borderId="1" xfId="0" applyFont="1" applyFill="1" applyBorder="1"/>
    <xf numFmtId="0" fontId="0" fillId="8" borderId="1" xfId="0" applyFill="1" applyBorder="1"/>
    <xf numFmtId="0" fontId="0" fillId="2" borderId="0" xfId="0" applyFill="1" applyAlignment="1"/>
    <xf numFmtId="2" fontId="0" fillId="0" borderId="5" xfId="0" applyNumberFormat="1" applyBorder="1" applyAlignment="1">
      <alignment wrapText="1"/>
    </xf>
    <xf numFmtId="2" fontId="0" fillId="0" borderId="1" xfId="0" applyNumberFormat="1" applyBorder="1" applyAlignment="1">
      <alignment wrapText="1"/>
    </xf>
    <xf numFmtId="0" fontId="3" fillId="0" borderId="0" xfId="0" applyFont="1" applyFill="1" applyBorder="1"/>
    <xf numFmtId="0" fontId="6" fillId="0" borderId="0" xfId="0" applyFont="1" applyFill="1" applyBorder="1"/>
    <xf numFmtId="0" fontId="6" fillId="0" borderId="1" xfId="0" applyFont="1" applyFill="1" applyBorder="1"/>
    <xf numFmtId="0" fontId="1" fillId="3" borderId="9" xfId="0" applyFont="1" applyFill="1" applyBorder="1"/>
    <xf numFmtId="9" fontId="1" fillId="0" borderId="1" xfId="0" applyNumberFormat="1" applyFont="1" applyBorder="1"/>
    <xf numFmtId="4" fontId="1" fillId="0" borderId="1" xfId="0" applyNumberFormat="1" applyFont="1" applyFill="1" applyBorder="1"/>
    <xf numFmtId="2" fontId="0" fillId="0" borderId="0" xfId="0" applyNumberFormat="1" applyFill="1"/>
    <xf numFmtId="2" fontId="0" fillId="2" borderId="5" xfId="0" applyNumberFormat="1" applyFill="1" applyBorder="1"/>
    <xf numFmtId="164" fontId="0" fillId="2" borderId="1" xfId="0" applyNumberFormat="1" applyFill="1" applyBorder="1"/>
    <xf numFmtId="0" fontId="3" fillId="0" borderId="5" xfId="0" applyFont="1" applyBorder="1" applyAlignment="1">
      <alignment wrapText="1"/>
    </xf>
    <xf numFmtId="2" fontId="0" fillId="2" borderId="5" xfId="0" applyNumberFormat="1" applyFill="1" applyBorder="1" applyAlignment="1">
      <alignment wrapText="1"/>
    </xf>
    <xf numFmtId="2" fontId="0" fillId="2" borderId="1" xfId="0" applyNumberFormat="1" applyFill="1" applyBorder="1" applyAlignment="1">
      <alignment wrapText="1"/>
    </xf>
    <xf numFmtId="0" fontId="0" fillId="0" borderId="2" xfId="0" applyBorder="1"/>
    <xf numFmtId="164" fontId="0" fillId="0" borderId="2" xfId="0" applyNumberFormat="1" applyBorder="1"/>
    <xf numFmtId="0" fontId="3" fillId="0" borderId="2" xfId="0" applyFont="1" applyFill="1" applyBorder="1"/>
    <xf numFmtId="4" fontId="3" fillId="0" borderId="2" xfId="0" applyNumberFormat="1" applyFont="1" applyBorder="1"/>
    <xf numFmtId="4" fontId="0" fillId="0" borderId="2" xfId="0" applyNumberFormat="1" applyBorder="1"/>
    <xf numFmtId="0" fontId="0" fillId="0" borderId="0" xfId="0" applyAlignment="1">
      <alignment wrapText="1"/>
    </xf>
  </cellXfs>
  <cellStyles count="1">
    <cellStyle name="Normal" xfId="0" builtinId="0"/>
  </cellStyles>
  <dxfs count="193">
    <dxf>
      <fill>
        <patternFill>
          <bgColor rgb="FF92D050"/>
        </patternFill>
      </fill>
    </dxf>
    <dxf>
      <fill>
        <patternFill>
          <bgColor rgb="FF92D050"/>
        </patternFill>
      </fill>
    </dxf>
    <dxf>
      <fill>
        <patternFill>
          <bgColor rgb="FF92D050"/>
        </patternFill>
      </fill>
    </dxf>
    <dxf>
      <fill>
        <patternFill>
          <bgColor theme="9" tint="0.59996337778862885"/>
        </patternFill>
      </fill>
    </dxf>
    <dxf>
      <fill>
        <patternFill>
          <bgColor theme="9" tint="0.59996337778862885"/>
        </patternFill>
      </fill>
    </dxf>
    <dxf>
      <fill>
        <patternFill>
          <bgColor rgb="FF92D050"/>
        </patternFill>
      </fill>
    </dxf>
    <dxf>
      <fill>
        <patternFill>
          <bgColor theme="9" tint="0.59996337778862885"/>
        </patternFill>
      </fill>
    </dxf>
    <dxf>
      <fill>
        <patternFill>
          <bgColor rgb="FF92D050"/>
        </patternFill>
      </fill>
    </dxf>
    <dxf>
      <fill>
        <patternFill>
          <bgColor rgb="FF92D050"/>
        </patternFill>
      </fill>
    </dxf>
    <dxf>
      <fill>
        <patternFill>
          <bgColor rgb="FF92D050"/>
        </patternFill>
      </fill>
    </dxf>
    <dxf>
      <fill>
        <patternFill>
          <bgColor theme="9" tint="0.59996337778862885"/>
        </patternFill>
      </fill>
    </dxf>
    <dxf>
      <fill>
        <patternFill>
          <bgColor rgb="FF92D050"/>
        </patternFill>
      </fill>
    </dxf>
    <dxf>
      <fill>
        <patternFill>
          <bgColor theme="9" tint="0.59996337778862885"/>
        </patternFill>
      </fill>
    </dxf>
    <dxf>
      <fill>
        <patternFill>
          <bgColor rgb="FF92D050"/>
        </patternFill>
      </fill>
    </dxf>
    <dxf>
      <fill>
        <patternFill>
          <bgColor theme="9" tint="0.59996337778862885"/>
        </patternFill>
      </fill>
    </dxf>
    <dxf>
      <fill>
        <patternFill>
          <bgColor rgb="FF92D050"/>
        </patternFill>
      </fill>
    </dxf>
    <dxf>
      <fill>
        <patternFill>
          <bgColor rgb="FF92D050"/>
        </patternFill>
      </fill>
    </dxf>
    <dxf>
      <fill>
        <patternFill>
          <bgColor rgb="FF92D050"/>
        </patternFill>
      </fill>
    </dxf>
    <dxf>
      <fill>
        <patternFill>
          <bgColor theme="9" tint="0.59996337778862885"/>
        </patternFill>
      </fill>
    </dxf>
    <dxf>
      <fill>
        <patternFill>
          <bgColor rgb="FF92D050"/>
        </patternFill>
      </fill>
    </dxf>
    <dxf>
      <fill>
        <patternFill>
          <bgColor rgb="FF92D050"/>
        </patternFill>
      </fill>
    </dxf>
    <dxf>
      <fill>
        <patternFill>
          <bgColor theme="9" tint="0.59996337778862885"/>
        </patternFill>
      </fill>
    </dxf>
    <dxf>
      <fill>
        <patternFill>
          <bgColor rgb="FF92D050"/>
        </patternFill>
      </fill>
    </dxf>
    <dxf>
      <fill>
        <patternFill>
          <bgColor theme="9" tint="0.59996337778862885"/>
        </patternFill>
      </fill>
    </dxf>
    <dxf>
      <fill>
        <patternFill>
          <bgColor rgb="FF92D050"/>
        </patternFill>
      </fill>
    </dxf>
    <dxf>
      <fill>
        <patternFill>
          <bgColor rgb="FF92D050"/>
        </patternFill>
      </fill>
    </dxf>
    <dxf>
      <fill>
        <patternFill>
          <bgColor rgb="FF92D050"/>
        </patternFill>
      </fill>
    </dxf>
    <dxf>
      <fill>
        <patternFill>
          <bgColor theme="9" tint="0.59996337778862885"/>
        </patternFill>
      </fill>
    </dxf>
    <dxf>
      <fill>
        <patternFill>
          <bgColor rgb="FF92D050"/>
        </patternFill>
      </fill>
    </dxf>
    <dxf>
      <fill>
        <patternFill>
          <bgColor rgb="FF92D050"/>
        </patternFill>
      </fill>
    </dxf>
    <dxf>
      <fill>
        <patternFill>
          <bgColor theme="9" tint="0.59996337778862885"/>
        </patternFill>
      </fill>
    </dxf>
    <dxf>
      <fill>
        <patternFill>
          <bgColor theme="9" tint="0.59996337778862885"/>
        </patternFill>
      </fill>
    </dxf>
    <dxf>
      <fill>
        <patternFill>
          <bgColor rgb="FF92D050"/>
        </patternFill>
      </fill>
    </dxf>
    <dxf>
      <fill>
        <patternFill>
          <bgColor rgb="FF92D050"/>
        </patternFill>
      </fill>
    </dxf>
    <dxf>
      <fill>
        <patternFill>
          <bgColor rgb="FF92D050"/>
        </patternFill>
      </fill>
    </dxf>
    <dxf>
      <fill>
        <patternFill>
          <bgColor theme="9" tint="0.59996337778862885"/>
        </patternFill>
      </fill>
    </dxf>
    <dxf>
      <fill>
        <patternFill>
          <bgColor rgb="FF92D050"/>
        </patternFill>
      </fill>
    </dxf>
    <dxf>
      <fill>
        <patternFill>
          <bgColor theme="9" tint="0.59996337778862885"/>
        </patternFill>
      </fill>
    </dxf>
    <dxf>
      <fill>
        <patternFill>
          <bgColor rgb="FF92D050"/>
        </patternFill>
      </fill>
    </dxf>
    <dxf>
      <fill>
        <patternFill>
          <bgColor theme="9" tint="0.59996337778862885"/>
        </patternFill>
      </fill>
    </dxf>
    <dxf>
      <fill>
        <patternFill>
          <bgColor rgb="FF92D050"/>
        </patternFill>
      </fill>
    </dxf>
    <dxf>
      <fill>
        <patternFill>
          <bgColor rgb="FF92D050"/>
        </patternFill>
      </fill>
    </dxf>
    <dxf>
      <fill>
        <patternFill>
          <bgColor rgb="FF92D050"/>
        </patternFill>
      </fill>
    </dxf>
    <dxf>
      <fill>
        <patternFill>
          <bgColor theme="9" tint="0.59996337778862885"/>
        </patternFill>
      </fill>
    </dxf>
    <dxf>
      <fill>
        <patternFill>
          <bgColor rgb="FF92D050"/>
        </patternFill>
      </fill>
    </dxf>
    <dxf>
      <fill>
        <patternFill>
          <bgColor rgb="FF92D050"/>
        </patternFill>
      </fill>
    </dxf>
    <dxf>
      <fill>
        <patternFill>
          <bgColor theme="9" tint="0.59996337778862885"/>
        </patternFill>
      </fill>
    </dxf>
    <dxf>
      <fill>
        <patternFill>
          <bgColor theme="9" tint="0.59996337778862885"/>
        </patternFill>
      </fill>
    </dxf>
    <dxf>
      <fill>
        <patternFill>
          <bgColor rgb="FF92D050"/>
        </patternFill>
      </fill>
    </dxf>
    <dxf>
      <fill>
        <patternFill>
          <bgColor rgb="FF92D050"/>
        </patternFill>
      </fill>
    </dxf>
    <dxf>
      <fill>
        <patternFill>
          <bgColor rgb="FF92D050"/>
        </patternFill>
      </fill>
    </dxf>
    <dxf>
      <fill>
        <patternFill>
          <bgColor theme="9" tint="0.59996337778862885"/>
        </patternFill>
      </fill>
    </dxf>
    <dxf>
      <fill>
        <patternFill>
          <bgColor rgb="FF92D050"/>
        </patternFill>
      </fill>
    </dxf>
    <dxf>
      <fill>
        <patternFill>
          <bgColor rgb="FF92D050"/>
        </patternFill>
      </fill>
    </dxf>
    <dxf>
      <fill>
        <patternFill>
          <bgColor theme="9" tint="0.59996337778862885"/>
        </patternFill>
      </fill>
    </dxf>
    <dxf>
      <fill>
        <patternFill>
          <bgColor theme="9" tint="0.59996337778862885"/>
        </patternFill>
      </fill>
    </dxf>
    <dxf>
      <fill>
        <patternFill>
          <bgColor rgb="FF92D050"/>
        </patternFill>
      </fill>
    </dxf>
    <dxf>
      <fill>
        <patternFill>
          <bgColor rgb="FF92D050"/>
        </patternFill>
      </fill>
    </dxf>
    <dxf>
      <fill>
        <patternFill>
          <bgColor rgb="FF92D050"/>
        </patternFill>
      </fill>
    </dxf>
    <dxf>
      <fill>
        <patternFill>
          <bgColor theme="9" tint="0.59996337778862885"/>
        </patternFill>
      </fill>
    </dxf>
    <dxf>
      <fill>
        <patternFill>
          <bgColor rgb="FF92D050"/>
        </patternFill>
      </fill>
    </dxf>
    <dxf>
      <fill>
        <patternFill>
          <bgColor rgb="FF92D050"/>
        </patternFill>
      </fill>
    </dxf>
    <dxf>
      <fill>
        <patternFill>
          <bgColor theme="9" tint="0.59996337778862885"/>
        </patternFill>
      </fill>
    </dxf>
    <dxf>
      <fill>
        <patternFill>
          <bgColor theme="9" tint="0.59996337778862885"/>
        </patternFill>
      </fill>
    </dxf>
    <dxf>
      <fill>
        <patternFill>
          <bgColor rgb="FF92D050"/>
        </patternFill>
      </fill>
    </dxf>
    <dxf>
      <fill>
        <patternFill>
          <bgColor rgb="FF92D050"/>
        </patternFill>
      </fill>
    </dxf>
    <dxf>
      <fill>
        <patternFill>
          <bgColor rgb="FF92D050"/>
        </patternFill>
      </fill>
    </dxf>
    <dxf>
      <fill>
        <patternFill>
          <bgColor theme="9" tint="0.59996337778862885"/>
        </patternFill>
      </fill>
    </dxf>
    <dxf>
      <fill>
        <patternFill>
          <bgColor rgb="FF92D050"/>
        </patternFill>
      </fill>
    </dxf>
    <dxf>
      <fill>
        <patternFill>
          <bgColor theme="9" tint="0.59996337778862885"/>
        </patternFill>
      </fill>
    </dxf>
    <dxf>
      <fill>
        <patternFill>
          <bgColor rgb="FF92D050"/>
        </patternFill>
      </fill>
    </dxf>
    <dxf>
      <fill>
        <patternFill>
          <bgColor theme="9" tint="0.59996337778862885"/>
        </patternFill>
      </fill>
    </dxf>
    <dxf>
      <fill>
        <patternFill>
          <bgColor rgb="FF92D050"/>
        </patternFill>
      </fill>
    </dxf>
    <dxf>
      <fill>
        <patternFill>
          <bgColor rgb="FF92D050"/>
        </patternFill>
      </fill>
    </dxf>
    <dxf>
      <fill>
        <patternFill>
          <bgColor rgb="FF92D050"/>
        </patternFill>
      </fill>
    </dxf>
    <dxf>
      <fill>
        <patternFill>
          <bgColor theme="9" tint="0.59996337778862885"/>
        </patternFill>
      </fill>
    </dxf>
    <dxf>
      <fill>
        <patternFill>
          <bgColor rgb="FF92D050"/>
        </patternFill>
      </fill>
    </dxf>
    <dxf>
      <fill>
        <patternFill>
          <bgColor rgb="FF92D050"/>
        </patternFill>
      </fill>
    </dxf>
    <dxf>
      <fill>
        <patternFill>
          <bgColor theme="9" tint="0.59996337778862885"/>
        </patternFill>
      </fill>
    </dxf>
    <dxf>
      <fill>
        <patternFill>
          <bgColor theme="9" tint="0.59996337778862885"/>
        </patternFill>
      </fill>
    </dxf>
    <dxf>
      <fill>
        <patternFill>
          <bgColor rgb="FF92D050"/>
        </patternFill>
      </fill>
    </dxf>
    <dxf>
      <fill>
        <patternFill>
          <bgColor rgb="FF92D050"/>
        </patternFill>
      </fill>
    </dxf>
    <dxf>
      <fill>
        <patternFill>
          <bgColor rgb="FF92D050"/>
        </patternFill>
      </fill>
    </dxf>
    <dxf>
      <fill>
        <patternFill>
          <bgColor theme="9" tint="0.59996337778862885"/>
        </patternFill>
      </fill>
    </dxf>
    <dxf>
      <fill>
        <patternFill>
          <bgColor rgb="FF92D050"/>
        </patternFill>
      </fill>
    </dxf>
    <dxf>
      <fill>
        <patternFill>
          <bgColor rgb="FF92D050"/>
        </patternFill>
      </fill>
    </dxf>
    <dxf>
      <fill>
        <patternFill>
          <bgColor theme="9" tint="0.59996337778862885"/>
        </patternFill>
      </fill>
    </dxf>
    <dxf>
      <fill>
        <patternFill>
          <bgColor theme="9" tint="0.59996337778862885"/>
        </patternFill>
      </fill>
    </dxf>
    <dxf>
      <fill>
        <patternFill>
          <bgColor rgb="FF92D050"/>
        </patternFill>
      </fill>
    </dxf>
    <dxf>
      <fill>
        <patternFill>
          <bgColor rgb="FF92D050"/>
        </patternFill>
      </fill>
    </dxf>
    <dxf>
      <fill>
        <patternFill>
          <bgColor rgb="FF92D050"/>
        </patternFill>
      </fill>
    </dxf>
    <dxf>
      <fill>
        <patternFill>
          <bgColor theme="9" tint="0.59996337778862885"/>
        </patternFill>
      </fill>
    </dxf>
    <dxf>
      <fill>
        <patternFill>
          <bgColor rgb="FF92D050"/>
        </patternFill>
      </fill>
    </dxf>
    <dxf>
      <fill>
        <patternFill>
          <bgColor rgb="FF92D050"/>
        </patternFill>
      </fill>
    </dxf>
    <dxf>
      <fill>
        <patternFill>
          <bgColor theme="9" tint="0.59996337778862885"/>
        </patternFill>
      </fill>
    </dxf>
    <dxf>
      <fill>
        <patternFill>
          <bgColor theme="9" tint="0.59996337778862885"/>
        </patternFill>
      </fill>
    </dxf>
    <dxf>
      <fill>
        <patternFill>
          <bgColor rgb="FF92D050"/>
        </patternFill>
      </fill>
    </dxf>
    <dxf>
      <fill>
        <patternFill>
          <bgColor rgb="FF92D050"/>
        </patternFill>
      </fill>
    </dxf>
    <dxf>
      <fill>
        <patternFill>
          <bgColor rgb="FF92D050"/>
        </patternFill>
      </fill>
    </dxf>
    <dxf>
      <fill>
        <patternFill>
          <bgColor theme="9" tint="0.59996337778862885"/>
        </patternFill>
      </fill>
    </dxf>
    <dxf>
      <fill>
        <patternFill>
          <bgColor rgb="FF92D050"/>
        </patternFill>
      </fill>
    </dxf>
    <dxf>
      <fill>
        <patternFill>
          <bgColor theme="9" tint="0.59996337778862885"/>
        </patternFill>
      </fill>
    </dxf>
    <dxf>
      <fill>
        <patternFill>
          <bgColor rgb="FF92D050"/>
        </patternFill>
      </fill>
    </dxf>
    <dxf>
      <fill>
        <patternFill>
          <bgColor theme="9" tint="0.59996337778862885"/>
        </patternFill>
      </fill>
    </dxf>
    <dxf>
      <fill>
        <patternFill>
          <bgColor rgb="FF92D050"/>
        </patternFill>
      </fill>
    </dxf>
    <dxf>
      <fill>
        <patternFill>
          <bgColor rgb="FF92D050"/>
        </patternFill>
      </fill>
    </dxf>
    <dxf>
      <fill>
        <patternFill>
          <bgColor rgb="FF92D050"/>
        </patternFill>
      </fill>
    </dxf>
    <dxf>
      <fill>
        <patternFill>
          <bgColor theme="9" tint="0.59996337778862885"/>
        </patternFill>
      </fill>
    </dxf>
    <dxf>
      <fill>
        <patternFill>
          <bgColor rgb="FF92D050"/>
        </patternFill>
      </fill>
    </dxf>
    <dxf>
      <fill>
        <patternFill>
          <bgColor theme="9" tint="0.59996337778862885"/>
        </patternFill>
      </fill>
    </dxf>
    <dxf>
      <fill>
        <patternFill>
          <bgColor rgb="FF92D050"/>
        </patternFill>
      </fill>
    </dxf>
    <dxf>
      <fill>
        <patternFill>
          <bgColor theme="9" tint="0.59996337778862885"/>
        </patternFill>
      </fill>
    </dxf>
    <dxf>
      <fill>
        <patternFill>
          <bgColor rgb="FF92D050"/>
        </patternFill>
      </fill>
    </dxf>
    <dxf>
      <fill>
        <patternFill>
          <bgColor rgb="FF92D050"/>
        </patternFill>
      </fill>
    </dxf>
    <dxf>
      <fill>
        <patternFill>
          <bgColor rgb="FF92D050"/>
        </patternFill>
      </fill>
    </dxf>
    <dxf>
      <fill>
        <patternFill>
          <bgColor theme="9" tint="0.59996337778862885"/>
        </patternFill>
      </fill>
    </dxf>
    <dxf>
      <fill>
        <patternFill>
          <bgColor rgb="FF92D050"/>
        </patternFill>
      </fill>
    </dxf>
    <dxf>
      <fill>
        <patternFill>
          <bgColor rgb="FF92D050"/>
        </patternFill>
      </fill>
    </dxf>
    <dxf>
      <fill>
        <patternFill>
          <bgColor theme="9" tint="0.59996337778862885"/>
        </patternFill>
      </fill>
    </dxf>
    <dxf>
      <fill>
        <patternFill>
          <bgColor theme="9" tint="0.59996337778862885"/>
        </patternFill>
      </fill>
    </dxf>
    <dxf>
      <fill>
        <patternFill>
          <bgColor rgb="FF92D050"/>
        </patternFill>
      </fill>
    </dxf>
    <dxf>
      <fill>
        <patternFill>
          <bgColor rgb="FF92D050"/>
        </patternFill>
      </fill>
    </dxf>
    <dxf>
      <fill>
        <patternFill>
          <bgColor rgb="FF92D050"/>
        </patternFill>
      </fill>
    </dxf>
    <dxf>
      <fill>
        <patternFill>
          <bgColor theme="9" tint="0.59996337778862885"/>
        </patternFill>
      </fill>
    </dxf>
    <dxf>
      <fill>
        <patternFill>
          <bgColor rgb="FF92D050"/>
        </patternFill>
      </fill>
    </dxf>
    <dxf>
      <fill>
        <patternFill>
          <bgColor rgb="FF92D050"/>
        </patternFill>
      </fill>
    </dxf>
    <dxf>
      <fill>
        <patternFill>
          <bgColor theme="9" tint="0.59996337778862885"/>
        </patternFill>
      </fill>
    </dxf>
    <dxf>
      <fill>
        <patternFill>
          <bgColor theme="9" tint="0.59996337778862885"/>
        </patternFill>
      </fill>
    </dxf>
    <dxf>
      <fill>
        <patternFill>
          <bgColor rgb="FF92D050"/>
        </patternFill>
      </fill>
    </dxf>
    <dxf>
      <fill>
        <patternFill>
          <bgColor rgb="FF92D050"/>
        </patternFill>
      </fill>
    </dxf>
    <dxf>
      <fill>
        <patternFill>
          <bgColor rgb="FF92D050"/>
        </patternFill>
      </fill>
    </dxf>
    <dxf>
      <fill>
        <patternFill>
          <bgColor theme="9" tint="0.59996337778862885"/>
        </patternFill>
      </fill>
    </dxf>
    <dxf>
      <fill>
        <patternFill>
          <bgColor rgb="FF92D050"/>
        </patternFill>
      </fill>
    </dxf>
    <dxf>
      <fill>
        <patternFill>
          <bgColor theme="9" tint="0.59996337778862885"/>
        </patternFill>
      </fill>
    </dxf>
    <dxf>
      <fill>
        <patternFill>
          <bgColor rgb="FF92D050"/>
        </patternFill>
      </fill>
    </dxf>
    <dxf>
      <fill>
        <patternFill>
          <bgColor theme="9" tint="0.59996337778862885"/>
        </patternFill>
      </fill>
    </dxf>
    <dxf>
      <fill>
        <patternFill>
          <bgColor rgb="FF92D050"/>
        </patternFill>
      </fill>
    </dxf>
    <dxf>
      <fill>
        <patternFill>
          <bgColor rgb="FF92D050"/>
        </patternFill>
      </fill>
    </dxf>
    <dxf>
      <fill>
        <patternFill>
          <bgColor rgb="FF92D050"/>
        </patternFill>
      </fill>
    </dxf>
    <dxf>
      <fill>
        <patternFill>
          <bgColor theme="9" tint="0.59996337778862885"/>
        </patternFill>
      </fill>
    </dxf>
    <dxf>
      <fill>
        <patternFill>
          <bgColor rgb="FF92D050"/>
        </patternFill>
      </fill>
    </dxf>
    <dxf>
      <fill>
        <patternFill>
          <bgColor theme="9" tint="0.59996337778862885"/>
        </patternFill>
      </fill>
    </dxf>
    <dxf>
      <fill>
        <patternFill>
          <bgColor rgb="FF92D050"/>
        </patternFill>
      </fill>
    </dxf>
    <dxf>
      <fill>
        <patternFill>
          <bgColor theme="9" tint="0.59996337778862885"/>
        </patternFill>
      </fill>
    </dxf>
    <dxf>
      <fill>
        <patternFill>
          <bgColor rgb="FF92D050"/>
        </patternFill>
      </fill>
    </dxf>
    <dxf>
      <fill>
        <patternFill>
          <bgColor rgb="FF92D050"/>
        </patternFill>
      </fill>
    </dxf>
    <dxf>
      <fill>
        <patternFill>
          <bgColor rgb="FF92D050"/>
        </patternFill>
      </fill>
    </dxf>
    <dxf>
      <fill>
        <patternFill>
          <bgColor theme="9" tint="0.59996337778862885"/>
        </patternFill>
      </fill>
    </dxf>
    <dxf>
      <fill>
        <patternFill>
          <bgColor rgb="FF92D050"/>
        </patternFill>
      </fill>
    </dxf>
    <dxf>
      <fill>
        <patternFill>
          <bgColor theme="9" tint="0.59996337778862885"/>
        </patternFill>
      </fill>
    </dxf>
    <dxf>
      <fill>
        <patternFill>
          <bgColor rgb="FF92D050"/>
        </patternFill>
      </fill>
    </dxf>
    <dxf>
      <fill>
        <patternFill>
          <bgColor theme="9" tint="0.59996337778862885"/>
        </patternFill>
      </fill>
    </dxf>
    <dxf>
      <fill>
        <patternFill>
          <bgColor rgb="FF92D050"/>
        </patternFill>
      </fill>
    </dxf>
    <dxf>
      <fill>
        <patternFill>
          <bgColor rgb="FF92D050"/>
        </patternFill>
      </fill>
    </dxf>
    <dxf>
      <fill>
        <patternFill>
          <bgColor rgb="FF92D050"/>
        </patternFill>
      </fill>
    </dxf>
    <dxf>
      <fill>
        <patternFill>
          <bgColor theme="9" tint="0.59996337778862885"/>
        </patternFill>
      </fill>
    </dxf>
    <dxf>
      <fill>
        <patternFill>
          <bgColor rgb="FF92D050"/>
        </patternFill>
      </fill>
    </dxf>
    <dxf>
      <fill>
        <patternFill>
          <bgColor theme="9" tint="0.59996337778862885"/>
        </patternFill>
      </fill>
    </dxf>
    <dxf>
      <fill>
        <patternFill>
          <bgColor rgb="FF92D050"/>
        </patternFill>
      </fill>
    </dxf>
    <dxf>
      <fill>
        <patternFill>
          <bgColor theme="9" tint="0.59996337778862885"/>
        </patternFill>
      </fill>
    </dxf>
    <dxf>
      <fill>
        <patternFill>
          <bgColor rgb="FF92D050"/>
        </patternFill>
      </fill>
    </dxf>
    <dxf>
      <fill>
        <patternFill>
          <bgColor rgb="FF92D050"/>
        </patternFill>
      </fill>
    </dxf>
    <dxf>
      <fill>
        <patternFill>
          <bgColor rgb="FF92D050"/>
        </patternFill>
      </fill>
    </dxf>
    <dxf>
      <fill>
        <patternFill>
          <bgColor theme="9" tint="0.59996337778862885"/>
        </patternFill>
      </fill>
    </dxf>
    <dxf>
      <fill>
        <patternFill>
          <bgColor rgb="FF92D050"/>
        </patternFill>
      </fill>
    </dxf>
    <dxf>
      <fill>
        <patternFill>
          <bgColor theme="9" tint="0.59996337778862885"/>
        </patternFill>
      </fill>
    </dxf>
    <dxf>
      <fill>
        <patternFill>
          <bgColor rgb="FF92D050"/>
        </patternFill>
      </fill>
    </dxf>
    <dxf>
      <fill>
        <patternFill>
          <bgColor theme="9" tint="0.59996337778862885"/>
        </patternFill>
      </fill>
    </dxf>
    <dxf>
      <fill>
        <patternFill>
          <bgColor rgb="FF92D050"/>
        </patternFill>
      </fill>
    </dxf>
    <dxf>
      <fill>
        <patternFill>
          <bgColor rgb="FF92D050"/>
        </patternFill>
      </fill>
    </dxf>
    <dxf>
      <fill>
        <patternFill>
          <bgColor rgb="FF92D050"/>
        </patternFill>
      </fill>
    </dxf>
    <dxf>
      <fill>
        <patternFill>
          <bgColor theme="9" tint="0.59996337778862885"/>
        </patternFill>
      </fill>
    </dxf>
    <dxf>
      <fill>
        <patternFill>
          <bgColor rgb="FF92D050"/>
        </patternFill>
      </fill>
    </dxf>
    <dxf>
      <fill>
        <patternFill>
          <bgColor theme="9" tint="0.59996337778862885"/>
        </patternFill>
      </fill>
    </dxf>
    <dxf>
      <fill>
        <patternFill>
          <bgColor rgb="FF92D050"/>
        </patternFill>
      </fill>
    </dxf>
    <dxf>
      <fill>
        <patternFill>
          <bgColor theme="9" tint="0.59996337778862885"/>
        </patternFill>
      </fill>
    </dxf>
    <dxf>
      <fill>
        <patternFill>
          <bgColor rgb="FF92D050"/>
        </patternFill>
      </fill>
    </dxf>
    <dxf>
      <fill>
        <patternFill>
          <bgColor rgb="FF92D050"/>
        </patternFill>
      </fill>
    </dxf>
    <dxf>
      <fill>
        <patternFill>
          <bgColor rgb="FF92D050"/>
        </patternFill>
      </fill>
    </dxf>
    <dxf>
      <fill>
        <patternFill>
          <bgColor theme="9" tint="0.59996337778862885"/>
        </patternFill>
      </fill>
    </dxf>
    <dxf>
      <fill>
        <patternFill>
          <bgColor rgb="FF92D050"/>
        </patternFill>
      </fill>
    </dxf>
    <dxf>
      <fill>
        <patternFill>
          <bgColor rgb="FF92D050"/>
        </patternFill>
      </fill>
    </dxf>
    <dxf>
      <fill>
        <patternFill>
          <bgColor theme="9" tint="0.59996337778862885"/>
        </patternFill>
      </fill>
    </dxf>
    <dxf>
      <fill>
        <patternFill>
          <bgColor theme="9" tint="0.59996337778862885"/>
        </patternFill>
      </fill>
    </dxf>
    <dxf>
      <fill>
        <patternFill>
          <bgColor rgb="FF92D050"/>
        </patternFill>
      </fill>
    </dxf>
    <dxf>
      <fill>
        <patternFill>
          <bgColor rgb="FF92D050"/>
        </patternFill>
      </fill>
    </dxf>
    <dxf>
      <fill>
        <patternFill>
          <bgColor rgb="FF92D050"/>
        </patternFill>
      </fill>
    </dxf>
    <dxf>
      <fill>
        <patternFill>
          <bgColor theme="9" tint="0.59996337778862885"/>
        </patternFill>
      </fill>
    </dxf>
    <dxf>
      <fill>
        <patternFill>
          <bgColor rgb="FF92D050"/>
        </patternFill>
      </fill>
    </dxf>
    <dxf>
      <fill>
        <patternFill>
          <bgColor rgb="FF92D050"/>
        </patternFill>
      </fill>
    </dxf>
    <dxf>
      <fill>
        <patternFill>
          <bgColor theme="9" tint="0.59996337778862885"/>
        </patternFill>
      </fill>
    </dxf>
    <dxf>
      <fill>
        <patternFill>
          <bgColor theme="9" tint="0.59996337778862885"/>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4"/>
  <sheetViews>
    <sheetView workbookViewId="0">
      <pane ySplit="1" topLeftCell="A2" activePane="bottomLeft" state="frozen"/>
      <selection pane="bottomLeft" activeCell="A89" sqref="A89"/>
    </sheetView>
  </sheetViews>
  <sheetFormatPr baseColWidth="10" defaultRowHeight="14.5" x14ac:dyDescent="0.35"/>
  <cols>
    <col min="1" max="1" width="46.1796875" bestFit="1" customWidth="1"/>
    <col min="2" max="2" width="19" bestFit="1" customWidth="1"/>
    <col min="3" max="3" width="39.81640625" bestFit="1" customWidth="1"/>
    <col min="4" max="4" width="7.453125" bestFit="1" customWidth="1"/>
    <col min="5" max="5" width="14.6328125" style="107" bestFit="1" customWidth="1"/>
    <col min="6" max="6" width="13.1796875" style="1" bestFit="1" customWidth="1"/>
    <col min="7" max="7" width="26.6328125" bestFit="1" customWidth="1"/>
    <col min="8" max="8" width="8.81640625" bestFit="1" customWidth="1"/>
    <col min="9" max="9" width="11.81640625" bestFit="1" customWidth="1"/>
  </cols>
  <sheetData>
    <row r="1" spans="1:9" s="1" customFormat="1" ht="29" x14ac:dyDescent="0.35">
      <c r="A1" s="28" t="s">
        <v>98</v>
      </c>
      <c r="B1" s="28" t="s">
        <v>6</v>
      </c>
      <c r="C1" s="28" t="s">
        <v>0</v>
      </c>
      <c r="D1" s="28" t="s">
        <v>39</v>
      </c>
      <c r="E1" s="105" t="s">
        <v>41</v>
      </c>
      <c r="F1" s="28" t="s">
        <v>42</v>
      </c>
      <c r="G1" s="28" t="s">
        <v>1</v>
      </c>
      <c r="H1" s="28" t="s">
        <v>14</v>
      </c>
      <c r="I1" s="36" t="s">
        <v>97</v>
      </c>
    </row>
    <row r="2" spans="1:9" x14ac:dyDescent="0.35">
      <c r="A2" s="11" t="str">
        <f t="shared" ref="A2:A65" si="0">IF(OR(C2="",I2=""),"z",C2&amp;" - "&amp;I2)</f>
        <v>4 épices (mélange) - kg</v>
      </c>
      <c r="B2" s="7" t="s">
        <v>246</v>
      </c>
      <c r="C2" s="3" t="s">
        <v>426</v>
      </c>
      <c r="D2" s="3">
        <v>3.05</v>
      </c>
      <c r="E2" s="4">
        <v>3.5000000000000003E-2</v>
      </c>
      <c r="F2" s="9">
        <f t="shared" ref="F2:F65" si="1">D2/E2</f>
        <v>87.142857142857125</v>
      </c>
      <c r="G2" s="12" t="s">
        <v>26</v>
      </c>
      <c r="H2" s="11">
        <v>20180127</v>
      </c>
      <c r="I2" s="7" t="s">
        <v>263</v>
      </c>
    </row>
    <row r="3" spans="1:9" x14ac:dyDescent="0.35">
      <c r="A3" s="11" t="str">
        <f t="shared" si="0"/>
        <v>Agneau (roti) - kg</v>
      </c>
      <c r="B3" s="7" t="s">
        <v>77</v>
      </c>
      <c r="C3" s="7" t="s">
        <v>368</v>
      </c>
      <c r="D3" s="7">
        <v>17.96</v>
      </c>
      <c r="E3" s="4">
        <v>0.56200000000000006</v>
      </c>
      <c r="F3" s="9">
        <f t="shared" si="1"/>
        <v>31.957295373665477</v>
      </c>
      <c r="G3" s="3" t="s">
        <v>22</v>
      </c>
      <c r="H3" s="7">
        <v>20180119</v>
      </c>
      <c r="I3" s="7" t="s">
        <v>263</v>
      </c>
    </row>
    <row r="4" spans="1:9" x14ac:dyDescent="0.35">
      <c r="A4" s="11" t="str">
        <f t="shared" si="0"/>
        <v>Ail Crac Espagne - Kg</v>
      </c>
      <c r="B4" s="26" t="s">
        <v>82</v>
      </c>
      <c r="C4" s="3" t="s">
        <v>12</v>
      </c>
      <c r="D4" s="3">
        <v>0.34</v>
      </c>
      <c r="E4" s="4">
        <v>0.05</v>
      </c>
      <c r="F4" s="5">
        <f t="shared" si="1"/>
        <v>6.8</v>
      </c>
      <c r="G4" s="3" t="s">
        <v>2</v>
      </c>
      <c r="H4" s="7">
        <v>20171227</v>
      </c>
      <c r="I4" s="7" t="s">
        <v>99</v>
      </c>
    </row>
    <row r="5" spans="1:9" x14ac:dyDescent="0.35">
      <c r="A5" s="11" t="str">
        <f t="shared" si="0"/>
        <v>Ail sec (vrac) - kg</v>
      </c>
      <c r="B5" s="26" t="s">
        <v>82</v>
      </c>
      <c r="C5" s="20" t="s">
        <v>546</v>
      </c>
      <c r="D5" s="10">
        <v>0.68</v>
      </c>
      <c r="E5" s="86">
        <v>6.2E-2</v>
      </c>
      <c r="F5" s="5">
        <f t="shared" si="1"/>
        <v>10.967741935483872</v>
      </c>
      <c r="G5" s="12" t="s">
        <v>26</v>
      </c>
      <c r="H5" s="11">
        <v>20180223</v>
      </c>
      <c r="I5" s="7" t="s">
        <v>263</v>
      </c>
    </row>
    <row r="6" spans="1:9" x14ac:dyDescent="0.35">
      <c r="A6" s="11" t="str">
        <f t="shared" si="0"/>
        <v>Amandes Blanche poudre (en vrac) - kg</v>
      </c>
      <c r="B6" s="11" t="s">
        <v>162</v>
      </c>
      <c r="C6" s="12" t="s">
        <v>575</v>
      </c>
      <c r="D6" s="12">
        <v>1.3</v>
      </c>
      <c r="E6" s="106">
        <v>0.05</v>
      </c>
      <c r="F6" s="5">
        <f t="shared" si="1"/>
        <v>26</v>
      </c>
      <c r="G6" s="7" t="s">
        <v>26</v>
      </c>
      <c r="H6" s="7">
        <v>20180301</v>
      </c>
      <c r="I6" s="7" t="s">
        <v>263</v>
      </c>
    </row>
    <row r="7" spans="1:9" x14ac:dyDescent="0.35">
      <c r="A7" s="11" t="str">
        <f t="shared" si="0"/>
        <v>Amandes complètes en poudre (bio) - La Patelière - kg</v>
      </c>
      <c r="B7" s="11" t="s">
        <v>162</v>
      </c>
      <c r="C7" s="12" t="s">
        <v>163</v>
      </c>
      <c r="D7" s="12">
        <v>4.5</v>
      </c>
      <c r="E7" s="106">
        <v>0.125</v>
      </c>
      <c r="F7" s="5">
        <f t="shared" si="1"/>
        <v>36</v>
      </c>
      <c r="G7" s="12" t="s">
        <v>44</v>
      </c>
      <c r="H7" s="7" t="s">
        <v>64</v>
      </c>
      <c r="I7" s="7" t="s">
        <v>263</v>
      </c>
    </row>
    <row r="8" spans="1:9" x14ac:dyDescent="0.35">
      <c r="A8" s="11" t="str">
        <f t="shared" si="0"/>
        <v>Amandes entières blanches (vrac) - kg</v>
      </c>
      <c r="B8" s="11" t="s">
        <v>162</v>
      </c>
      <c r="C8" s="20" t="s">
        <v>542</v>
      </c>
      <c r="D8" s="10">
        <v>1.02</v>
      </c>
      <c r="E8" s="86">
        <v>0.04</v>
      </c>
      <c r="F8" s="5">
        <f t="shared" si="1"/>
        <v>25.5</v>
      </c>
      <c r="G8" s="7" t="s">
        <v>26</v>
      </c>
      <c r="H8" s="11">
        <v>20180224</v>
      </c>
      <c r="I8" s="7" t="s">
        <v>263</v>
      </c>
    </row>
    <row r="9" spans="1:9" x14ac:dyDescent="0.35">
      <c r="A9" s="11" t="str">
        <f t="shared" si="0"/>
        <v>Arome Framboise 60ml - L</v>
      </c>
      <c r="B9" s="11" t="s">
        <v>59</v>
      </c>
      <c r="C9" s="12" t="s">
        <v>60</v>
      </c>
      <c r="D9" s="12">
        <v>3.18</v>
      </c>
      <c r="E9" s="4">
        <v>0.06</v>
      </c>
      <c r="F9" s="9">
        <f t="shared" si="1"/>
        <v>53.000000000000007</v>
      </c>
      <c r="G9" s="12" t="s">
        <v>26</v>
      </c>
      <c r="H9" s="11">
        <v>20171230</v>
      </c>
      <c r="I9" s="7" t="s">
        <v>100</v>
      </c>
    </row>
    <row r="10" spans="1:9" x14ac:dyDescent="0.35">
      <c r="A10" s="11" t="str">
        <f t="shared" si="0"/>
        <v>Bacon émincé (Fleury Michon) - Kg</v>
      </c>
      <c r="B10" s="11" t="s">
        <v>87</v>
      </c>
      <c r="C10" s="3" t="s">
        <v>134</v>
      </c>
      <c r="D10" s="3">
        <v>2.75</v>
      </c>
      <c r="E10" s="4">
        <f>2*0.075</f>
        <v>0.15</v>
      </c>
      <c r="F10" s="9">
        <f t="shared" si="1"/>
        <v>18.333333333333336</v>
      </c>
      <c r="G10" s="3" t="s">
        <v>44</v>
      </c>
      <c r="H10" s="7" t="s">
        <v>64</v>
      </c>
      <c r="I10" s="7" t="s">
        <v>99</v>
      </c>
    </row>
    <row r="11" spans="1:9" x14ac:dyDescent="0.35">
      <c r="A11" s="11" t="str">
        <f t="shared" si="0"/>
        <v>Bananes bio - kg</v>
      </c>
      <c r="B11" s="11" t="s">
        <v>85</v>
      </c>
      <c r="C11" s="7" t="s">
        <v>430</v>
      </c>
      <c r="D11" s="7">
        <v>1.69</v>
      </c>
      <c r="E11" s="4">
        <v>0.73799999999999999</v>
      </c>
      <c r="F11" s="9">
        <f t="shared" si="1"/>
        <v>2.2899728997289972</v>
      </c>
      <c r="G11" s="7" t="s">
        <v>26</v>
      </c>
      <c r="H11" s="7">
        <v>20180127</v>
      </c>
      <c r="I11" s="7" t="s">
        <v>263</v>
      </c>
    </row>
    <row r="12" spans="1:9" x14ac:dyDescent="0.35">
      <c r="A12" s="11" t="str">
        <f t="shared" si="0"/>
        <v>Basilic feuille bio (35g) - Herbier - Kg</v>
      </c>
      <c r="B12" s="7" t="s">
        <v>246</v>
      </c>
      <c r="C12" s="7" t="s">
        <v>223</v>
      </c>
      <c r="D12" s="7">
        <v>2.99</v>
      </c>
      <c r="E12" s="4">
        <v>3.5000000000000003E-2</v>
      </c>
      <c r="F12" s="9">
        <f t="shared" si="1"/>
        <v>85.428571428571431</v>
      </c>
      <c r="G12" s="7" t="s">
        <v>45</v>
      </c>
      <c r="H12" s="7" t="s">
        <v>45</v>
      </c>
      <c r="I12" s="7" t="s">
        <v>99</v>
      </c>
    </row>
    <row r="13" spans="1:9" x14ac:dyDescent="0.35">
      <c r="A13" s="11" t="str">
        <f t="shared" si="0"/>
        <v>Beurre Doux (250g) - Kg</v>
      </c>
      <c r="B13" s="7" t="s">
        <v>293</v>
      </c>
      <c r="C13" s="3" t="s">
        <v>16</v>
      </c>
      <c r="D13" s="3">
        <v>2.39</v>
      </c>
      <c r="E13" s="4">
        <v>0.25</v>
      </c>
      <c r="F13" s="5">
        <f t="shared" si="1"/>
        <v>9.56</v>
      </c>
      <c r="G13" s="3" t="s">
        <v>2</v>
      </c>
      <c r="H13" s="7">
        <v>20171228</v>
      </c>
      <c r="I13" s="7" t="s">
        <v>99</v>
      </c>
    </row>
    <row r="14" spans="1:9" x14ac:dyDescent="0.35">
      <c r="A14" s="11" t="str">
        <f t="shared" si="0"/>
        <v>Beurre Doux de Barrate (250g) - kg</v>
      </c>
      <c r="B14" s="7" t="s">
        <v>293</v>
      </c>
      <c r="C14" s="7" t="s">
        <v>543</v>
      </c>
      <c r="D14" s="7">
        <v>2.7</v>
      </c>
      <c r="E14" s="4">
        <v>0.25</v>
      </c>
      <c r="F14" s="5">
        <f t="shared" si="1"/>
        <v>10.8</v>
      </c>
      <c r="G14" s="7" t="s">
        <v>544</v>
      </c>
      <c r="H14" s="7">
        <v>20180224</v>
      </c>
      <c r="I14" s="7" t="s">
        <v>263</v>
      </c>
    </row>
    <row r="15" spans="1:9" x14ac:dyDescent="0.35">
      <c r="A15" s="11" t="str">
        <f t="shared" si="0"/>
        <v>Bœuf : morceau avec os pour bouillon  - Kg</v>
      </c>
      <c r="B15" s="11" t="s">
        <v>76</v>
      </c>
      <c r="C15" s="3" t="s">
        <v>74</v>
      </c>
      <c r="D15" s="3">
        <v>3.37</v>
      </c>
      <c r="E15" s="4">
        <v>0.42599999999999999</v>
      </c>
      <c r="F15" s="9">
        <f t="shared" si="1"/>
        <v>7.910798122065728</v>
      </c>
      <c r="G15" s="3" t="s">
        <v>72</v>
      </c>
      <c r="H15" s="11">
        <v>20180102</v>
      </c>
      <c r="I15" s="7" t="s">
        <v>99</v>
      </c>
    </row>
    <row r="16" spans="1:9" x14ac:dyDescent="0.35">
      <c r="A16" s="11" t="str">
        <f t="shared" si="0"/>
        <v>Bœuf : morceau pour bouillon  - Kg</v>
      </c>
      <c r="B16" s="11" t="s">
        <v>76</v>
      </c>
      <c r="C16" s="3" t="s">
        <v>73</v>
      </c>
      <c r="D16" s="3">
        <v>2.91</v>
      </c>
      <c r="E16" s="4">
        <v>0.29399999999999998</v>
      </c>
      <c r="F16" s="9">
        <f t="shared" si="1"/>
        <v>9.8979591836734713</v>
      </c>
      <c r="G16" s="3" t="s">
        <v>72</v>
      </c>
      <c r="H16" s="11">
        <v>20180102</v>
      </c>
      <c r="I16" s="7" t="s">
        <v>99</v>
      </c>
    </row>
    <row r="17" spans="1:9" x14ac:dyDescent="0.35">
      <c r="A17" s="11" t="str">
        <f t="shared" si="0"/>
        <v>Bœuf : os pour bouillon - Kg</v>
      </c>
      <c r="B17" s="11" t="s">
        <v>76</v>
      </c>
      <c r="C17" s="12" t="s">
        <v>75</v>
      </c>
      <c r="D17" s="12">
        <v>0.66</v>
      </c>
      <c r="E17" s="106">
        <v>0.16800000000000001</v>
      </c>
      <c r="F17" s="5">
        <f t="shared" si="1"/>
        <v>3.9285714285714284</v>
      </c>
      <c r="G17" s="3" t="s">
        <v>72</v>
      </c>
      <c r="H17" s="11">
        <v>20180102</v>
      </c>
      <c r="I17" s="7" t="s">
        <v>99</v>
      </c>
    </row>
    <row r="18" spans="1:9" x14ac:dyDescent="0.35">
      <c r="A18" s="11" t="str">
        <f t="shared" si="0"/>
        <v>Boulettes de moelle - Kg</v>
      </c>
      <c r="B18" s="19" t="s">
        <v>87</v>
      </c>
      <c r="C18" s="20" t="s">
        <v>183</v>
      </c>
      <c r="D18" s="10">
        <v>0.89</v>
      </c>
      <c r="E18" s="86">
        <v>0.1</v>
      </c>
      <c r="F18" s="5">
        <f t="shared" si="1"/>
        <v>8.9</v>
      </c>
      <c r="G18" s="3" t="s">
        <v>72</v>
      </c>
      <c r="H18" s="11">
        <v>20180103</v>
      </c>
      <c r="I18" s="7" t="s">
        <v>99</v>
      </c>
    </row>
    <row r="19" spans="1:9" x14ac:dyDescent="0.35">
      <c r="A19" s="11" t="str">
        <f t="shared" si="0"/>
        <v>Brocoli - Kg</v>
      </c>
      <c r="B19" s="11" t="s">
        <v>82</v>
      </c>
      <c r="C19" s="3" t="s">
        <v>21</v>
      </c>
      <c r="D19" s="3">
        <v>2.99</v>
      </c>
      <c r="E19" s="4">
        <v>0.58599999999999997</v>
      </c>
      <c r="F19" s="5">
        <f t="shared" si="1"/>
        <v>5.1023890784982946</v>
      </c>
      <c r="G19" s="12" t="s">
        <v>26</v>
      </c>
      <c r="H19" s="7">
        <v>20171228</v>
      </c>
      <c r="I19" s="7" t="s">
        <v>99</v>
      </c>
    </row>
    <row r="20" spans="1:9" x14ac:dyDescent="0.35">
      <c r="A20" s="11" t="str">
        <f t="shared" si="0"/>
        <v>Butternut (courge) - Kg</v>
      </c>
      <c r="B20" s="11" t="s">
        <v>82</v>
      </c>
      <c r="C20" s="7" t="s">
        <v>251</v>
      </c>
      <c r="D20" s="7">
        <v>4.99</v>
      </c>
      <c r="E20" s="4">
        <v>1.49</v>
      </c>
      <c r="F20" s="9">
        <f t="shared" si="1"/>
        <v>3.3489932885906044</v>
      </c>
      <c r="G20" s="7" t="s">
        <v>44</v>
      </c>
      <c r="H20" s="7">
        <v>20180109</v>
      </c>
      <c r="I20" s="7" t="s">
        <v>99</v>
      </c>
    </row>
    <row r="21" spans="1:9" x14ac:dyDescent="0.35">
      <c r="A21" s="11" t="str">
        <f t="shared" si="0"/>
        <v>Cabillaud (filets) - Findus - Pi</v>
      </c>
      <c r="B21" s="7" t="s">
        <v>512</v>
      </c>
      <c r="C21" s="7" t="s">
        <v>513</v>
      </c>
      <c r="D21" s="7">
        <v>6</v>
      </c>
      <c r="E21" s="4">
        <v>2</v>
      </c>
      <c r="F21" s="9">
        <f t="shared" si="1"/>
        <v>3</v>
      </c>
      <c r="G21" s="7" t="s">
        <v>257</v>
      </c>
      <c r="H21" s="7">
        <v>20180203</v>
      </c>
      <c r="I21" s="7" t="s">
        <v>101</v>
      </c>
    </row>
    <row r="22" spans="1:9" x14ac:dyDescent="0.35">
      <c r="A22" s="11" t="str">
        <f t="shared" si="0"/>
        <v>Café Pérou Grains (Vrac) - Kg</v>
      </c>
      <c r="B22" s="7" t="s">
        <v>561</v>
      </c>
      <c r="C22" s="8" t="s">
        <v>562</v>
      </c>
      <c r="D22" s="3">
        <v>3.87</v>
      </c>
      <c r="E22" s="4">
        <v>0.22</v>
      </c>
      <c r="F22" s="5">
        <f t="shared" si="1"/>
        <v>17.59090909090909</v>
      </c>
      <c r="G22" s="12" t="s">
        <v>26</v>
      </c>
      <c r="H22" s="7">
        <v>20180226</v>
      </c>
      <c r="I22" s="7" t="s">
        <v>99</v>
      </c>
    </row>
    <row r="23" spans="1:9" x14ac:dyDescent="0.35">
      <c r="A23" s="11" t="str">
        <f t="shared" si="0"/>
        <v>Café Tresor des Peuple Grains - kg</v>
      </c>
      <c r="B23" s="7" t="s">
        <v>561</v>
      </c>
      <c r="C23" s="7" t="s">
        <v>608</v>
      </c>
      <c r="D23" s="7">
        <v>7.72</v>
      </c>
      <c r="E23" s="4">
        <v>0.5</v>
      </c>
      <c r="F23" s="5">
        <f t="shared" si="1"/>
        <v>15.44</v>
      </c>
      <c r="G23" s="12" t="s">
        <v>26</v>
      </c>
      <c r="H23" s="7">
        <v>20180303</v>
      </c>
      <c r="I23" s="7" t="s">
        <v>263</v>
      </c>
    </row>
    <row r="24" spans="1:9" x14ac:dyDescent="0.35">
      <c r="A24" s="11" t="str">
        <f t="shared" si="0"/>
        <v>Camembert Président bio - Kg</v>
      </c>
      <c r="B24" s="7" t="s">
        <v>293</v>
      </c>
      <c r="C24" s="7" t="s">
        <v>248</v>
      </c>
      <c r="D24" s="7">
        <v>2.94</v>
      </c>
      <c r="E24" s="4">
        <v>0.25</v>
      </c>
      <c r="F24" s="9">
        <f t="shared" si="1"/>
        <v>11.76</v>
      </c>
      <c r="G24" s="7" t="s">
        <v>44</v>
      </c>
      <c r="H24" s="7">
        <v>20180109</v>
      </c>
      <c r="I24" s="7" t="s">
        <v>99</v>
      </c>
    </row>
    <row r="25" spans="1:9" x14ac:dyDescent="0.35">
      <c r="A25" s="11" t="str">
        <f t="shared" si="0"/>
        <v>Canelle en poudre (bio) - kg</v>
      </c>
      <c r="B25" s="7" t="s">
        <v>246</v>
      </c>
      <c r="C25" s="3" t="s">
        <v>438</v>
      </c>
      <c r="D25" s="3">
        <v>2.2000000000000002</v>
      </c>
      <c r="E25" s="4">
        <v>3.5000000000000003E-2</v>
      </c>
      <c r="F25" s="9">
        <f t="shared" si="1"/>
        <v>62.857142857142854</v>
      </c>
      <c r="G25" s="12" t="s">
        <v>45</v>
      </c>
      <c r="H25" s="11" t="s">
        <v>45</v>
      </c>
      <c r="I25" s="7" t="s">
        <v>263</v>
      </c>
    </row>
    <row r="26" spans="1:9" x14ac:dyDescent="0.35">
      <c r="A26" s="11" t="str">
        <f t="shared" si="0"/>
        <v>Capres bio (vinaigre) - Le Jardin bio - kg</v>
      </c>
      <c r="B26" s="7" t="s">
        <v>246</v>
      </c>
      <c r="C26" s="20" t="s">
        <v>600</v>
      </c>
      <c r="D26" s="10">
        <v>2.99</v>
      </c>
      <c r="E26" s="86">
        <v>0.14000000000000001</v>
      </c>
      <c r="F26" s="5">
        <f t="shared" si="1"/>
        <v>21.357142857142858</v>
      </c>
      <c r="G26" s="7" t="s">
        <v>45</v>
      </c>
      <c r="H26" s="11" t="s">
        <v>45</v>
      </c>
      <c r="I26" s="7" t="s">
        <v>263</v>
      </c>
    </row>
    <row r="27" spans="1:9" x14ac:dyDescent="0.35">
      <c r="A27" s="11" t="str">
        <f t="shared" si="0"/>
        <v>Carottes bio - Kg</v>
      </c>
      <c r="B27" s="11" t="s">
        <v>82</v>
      </c>
      <c r="C27" s="12" t="s">
        <v>247</v>
      </c>
      <c r="D27" s="12">
        <v>3.5</v>
      </c>
      <c r="E27" s="106">
        <v>1</v>
      </c>
      <c r="F27" s="9">
        <f t="shared" si="1"/>
        <v>3.5</v>
      </c>
      <c r="G27" s="7" t="s">
        <v>44</v>
      </c>
      <c r="H27" s="7">
        <v>20180109</v>
      </c>
      <c r="I27" s="7" t="s">
        <v>99</v>
      </c>
    </row>
    <row r="28" spans="1:9" x14ac:dyDescent="0.35">
      <c r="A28" s="11" t="str">
        <f t="shared" si="0"/>
        <v>Carottes lavées bio - Kg</v>
      </c>
      <c r="B28" s="11" t="s">
        <v>82</v>
      </c>
      <c r="C28" s="3" t="s">
        <v>104</v>
      </c>
      <c r="D28" s="3">
        <v>1.91</v>
      </c>
      <c r="E28" s="4">
        <v>0.61599999999999999</v>
      </c>
      <c r="F28" s="5">
        <f t="shared" si="1"/>
        <v>3.1006493506493507</v>
      </c>
      <c r="G28" s="12" t="s">
        <v>26</v>
      </c>
      <c r="H28" s="7">
        <v>20171228</v>
      </c>
      <c r="I28" s="7" t="s">
        <v>99</v>
      </c>
    </row>
    <row r="29" spans="1:9" x14ac:dyDescent="0.35">
      <c r="A29" s="11" t="str">
        <f t="shared" si="0"/>
        <v>Céléri branche (bio) - kg</v>
      </c>
      <c r="B29" s="11" t="s">
        <v>82</v>
      </c>
      <c r="C29" s="7" t="s">
        <v>477</v>
      </c>
      <c r="D29" s="7">
        <v>0.5</v>
      </c>
      <c r="E29" s="4">
        <v>0.11</v>
      </c>
      <c r="F29" s="9">
        <f t="shared" si="1"/>
        <v>4.5454545454545459</v>
      </c>
      <c r="G29" s="12" t="s">
        <v>26</v>
      </c>
      <c r="H29" s="7">
        <v>20180203</v>
      </c>
      <c r="I29" s="7" t="s">
        <v>263</v>
      </c>
    </row>
    <row r="30" spans="1:9" x14ac:dyDescent="0.35">
      <c r="A30" s="11" t="str">
        <f t="shared" si="0"/>
        <v>Cêpes déshydratées (30g) - kg</v>
      </c>
      <c r="B30" s="11" t="s">
        <v>82</v>
      </c>
      <c r="C30" s="7" t="s">
        <v>522</v>
      </c>
      <c r="D30" s="7">
        <v>6.75</v>
      </c>
      <c r="E30" s="4">
        <v>0.03</v>
      </c>
      <c r="F30" s="9">
        <f t="shared" si="1"/>
        <v>225</v>
      </c>
      <c r="G30" s="12" t="s">
        <v>26</v>
      </c>
      <c r="H30" s="7">
        <v>20180207</v>
      </c>
      <c r="I30" s="7" t="s">
        <v>263</v>
      </c>
    </row>
    <row r="31" spans="1:9" x14ac:dyDescent="0.35">
      <c r="A31" s="11" t="str">
        <f t="shared" si="0"/>
        <v>Chair de tomates bio (Auchan bio) - kg</v>
      </c>
      <c r="B31" s="11" t="s">
        <v>82</v>
      </c>
      <c r="C31" s="7" t="s">
        <v>312</v>
      </c>
      <c r="D31" s="7">
        <v>1.45</v>
      </c>
      <c r="E31" s="4">
        <v>0.4</v>
      </c>
      <c r="F31" s="9">
        <f t="shared" si="1"/>
        <v>3.6249999999999996</v>
      </c>
      <c r="G31" s="7" t="s">
        <v>44</v>
      </c>
      <c r="H31" s="7">
        <v>20180117</v>
      </c>
      <c r="I31" s="7" t="s">
        <v>263</v>
      </c>
    </row>
    <row r="32" spans="1:9" x14ac:dyDescent="0.35">
      <c r="A32" s="11" t="str">
        <f t="shared" si="0"/>
        <v>Champignon Blanc Paris - Kg</v>
      </c>
      <c r="B32" s="11" t="s">
        <v>82</v>
      </c>
      <c r="C32" s="3" t="s">
        <v>479</v>
      </c>
      <c r="D32" s="3">
        <v>2.15</v>
      </c>
      <c r="E32" s="4">
        <v>0.36499999999999999</v>
      </c>
      <c r="F32" s="5">
        <f t="shared" si="1"/>
        <v>5.8904109589041092</v>
      </c>
      <c r="G32" s="3" t="s">
        <v>2</v>
      </c>
      <c r="H32" s="7">
        <v>20171227</v>
      </c>
      <c r="I32" s="7" t="s">
        <v>99</v>
      </c>
    </row>
    <row r="33" spans="1:9" x14ac:dyDescent="0.35">
      <c r="A33" s="11" t="str">
        <f t="shared" si="0"/>
        <v>Champignon Blond - kg</v>
      </c>
      <c r="B33" s="26" t="s">
        <v>82</v>
      </c>
      <c r="C33" s="7" t="s">
        <v>478</v>
      </c>
      <c r="D33" s="7">
        <v>3.35</v>
      </c>
      <c r="E33" s="4">
        <v>0.35799999999999998</v>
      </c>
      <c r="F33" s="9">
        <f t="shared" si="1"/>
        <v>9.3575418994413422</v>
      </c>
      <c r="G33" s="12" t="s">
        <v>26</v>
      </c>
      <c r="H33" s="7">
        <v>20180203</v>
      </c>
      <c r="I33" s="7" t="s">
        <v>263</v>
      </c>
    </row>
    <row r="34" spans="1:9" x14ac:dyDescent="0.35">
      <c r="A34" s="11" t="str">
        <f t="shared" si="0"/>
        <v>Chips nature bio (huile de tournesol) - kg</v>
      </c>
      <c r="B34" s="7" t="s">
        <v>306</v>
      </c>
      <c r="C34" s="7" t="s">
        <v>307</v>
      </c>
      <c r="D34" s="7">
        <v>1.98</v>
      </c>
      <c r="E34" s="4">
        <v>0.125</v>
      </c>
      <c r="F34" s="9">
        <f t="shared" si="1"/>
        <v>15.84</v>
      </c>
      <c r="G34" s="7" t="s">
        <v>44</v>
      </c>
      <c r="H34" s="7">
        <v>20180117</v>
      </c>
      <c r="I34" s="7" t="s">
        <v>263</v>
      </c>
    </row>
    <row r="35" spans="1:9" x14ac:dyDescent="0.35">
      <c r="A35" s="11" t="str">
        <f t="shared" si="0"/>
        <v>Chocolat noire dessert (56%) - Kg</v>
      </c>
      <c r="B35" s="19" t="s">
        <v>61</v>
      </c>
      <c r="C35" s="20" t="s">
        <v>62</v>
      </c>
      <c r="D35" s="8">
        <v>2.4900000000000002</v>
      </c>
      <c r="E35" s="86">
        <v>0.2</v>
      </c>
      <c r="F35" s="9">
        <f t="shared" si="1"/>
        <v>12.450000000000001</v>
      </c>
      <c r="G35" s="12" t="s">
        <v>26</v>
      </c>
      <c r="H35" s="11">
        <v>20171230</v>
      </c>
      <c r="I35" s="7" t="s">
        <v>99</v>
      </c>
    </row>
    <row r="36" spans="1:9" x14ac:dyDescent="0.35">
      <c r="A36" s="11" t="str">
        <f t="shared" si="0"/>
        <v>Ciboulette bio surgelé (Darégal) - kg</v>
      </c>
      <c r="B36" s="7" t="s">
        <v>246</v>
      </c>
      <c r="C36" s="20" t="s">
        <v>598</v>
      </c>
      <c r="D36" s="10">
        <v>1.95</v>
      </c>
      <c r="E36" s="86">
        <v>0.05</v>
      </c>
      <c r="F36" s="5">
        <f t="shared" si="1"/>
        <v>39</v>
      </c>
      <c r="G36" s="7" t="s">
        <v>64</v>
      </c>
      <c r="H36" s="11" t="s">
        <v>64</v>
      </c>
      <c r="I36" s="7" t="s">
        <v>263</v>
      </c>
    </row>
    <row r="37" spans="1:9" x14ac:dyDescent="0.35">
      <c r="A37" s="11" t="str">
        <f t="shared" si="0"/>
        <v>Cidre doux Briard bio (Seine et Marne) - l</v>
      </c>
      <c r="B37" s="7" t="s">
        <v>572</v>
      </c>
      <c r="C37" s="7" t="s">
        <v>609</v>
      </c>
      <c r="D37" s="7">
        <v>5.17</v>
      </c>
      <c r="E37" s="4">
        <v>0.75</v>
      </c>
      <c r="F37" s="9">
        <f t="shared" si="1"/>
        <v>6.8933333333333335</v>
      </c>
      <c r="G37" s="12" t="s">
        <v>64</v>
      </c>
      <c r="H37" s="7" t="s">
        <v>45</v>
      </c>
      <c r="I37" s="7" t="s">
        <v>259</v>
      </c>
    </row>
    <row r="38" spans="1:9" x14ac:dyDescent="0.35">
      <c r="A38" s="11" t="str">
        <f t="shared" si="0"/>
        <v>Citron jaune bio - Pi</v>
      </c>
      <c r="B38" s="11" t="s">
        <v>85</v>
      </c>
      <c r="C38" s="7" t="s">
        <v>288</v>
      </c>
      <c r="D38" s="7">
        <v>0.37</v>
      </c>
      <c r="E38" s="4">
        <v>1</v>
      </c>
      <c r="F38" s="9">
        <f t="shared" si="1"/>
        <v>0.37</v>
      </c>
      <c r="G38" s="7" t="s">
        <v>26</v>
      </c>
      <c r="H38" s="7">
        <v>20180127</v>
      </c>
      <c r="I38" s="7" t="s">
        <v>101</v>
      </c>
    </row>
    <row r="39" spans="1:9" x14ac:dyDescent="0.35">
      <c r="A39" s="11" t="str">
        <f t="shared" si="0"/>
        <v>Citron vert - Pi</v>
      </c>
      <c r="B39" s="11" t="s">
        <v>85</v>
      </c>
      <c r="C39" s="7" t="s">
        <v>261</v>
      </c>
      <c r="D39" s="7">
        <v>0.75</v>
      </c>
      <c r="E39" s="4">
        <v>1</v>
      </c>
      <c r="F39" s="9">
        <f t="shared" si="1"/>
        <v>0.75</v>
      </c>
      <c r="G39" s="7" t="s">
        <v>257</v>
      </c>
      <c r="H39" s="7">
        <v>20180114</v>
      </c>
      <c r="I39" s="7" t="s">
        <v>101</v>
      </c>
    </row>
    <row r="40" spans="1:9" x14ac:dyDescent="0.35">
      <c r="A40" s="11" t="str">
        <f t="shared" si="0"/>
        <v>Colorants alimentaires - Natali (bio) - Kg</v>
      </c>
      <c r="B40" s="7" t="s">
        <v>170</v>
      </c>
      <c r="C40" s="7" t="s">
        <v>169</v>
      </c>
      <c r="D40" s="7">
        <v>3.15</v>
      </c>
      <c r="E40" s="4">
        <f>3*0.01</f>
        <v>0.03</v>
      </c>
      <c r="F40" s="9">
        <f t="shared" si="1"/>
        <v>105</v>
      </c>
      <c r="G40" s="7" t="s">
        <v>45</v>
      </c>
      <c r="H40" s="7" t="s">
        <v>64</v>
      </c>
      <c r="I40" s="7" t="s">
        <v>99</v>
      </c>
    </row>
    <row r="41" spans="1:9" x14ac:dyDescent="0.35">
      <c r="A41" s="11" t="str">
        <f t="shared" si="0"/>
        <v>Compote de pommes - Kg</v>
      </c>
      <c r="B41" s="19" t="s">
        <v>85</v>
      </c>
      <c r="C41" s="20" t="s">
        <v>86</v>
      </c>
      <c r="D41" s="20">
        <v>1.59</v>
      </c>
      <c r="E41" s="86">
        <v>0.7</v>
      </c>
      <c r="F41" s="5">
        <f t="shared" si="1"/>
        <v>2.2714285714285718</v>
      </c>
      <c r="G41" s="3" t="s">
        <v>72</v>
      </c>
      <c r="H41" s="11">
        <v>20180103</v>
      </c>
      <c r="I41" s="7" t="s">
        <v>99</v>
      </c>
    </row>
    <row r="42" spans="1:9" x14ac:dyDescent="0.35">
      <c r="A42" s="11" t="str">
        <f t="shared" si="0"/>
        <v>Compote de pommes - kg</v>
      </c>
      <c r="B42" s="19" t="s">
        <v>85</v>
      </c>
      <c r="C42" s="7" t="s">
        <v>86</v>
      </c>
      <c r="D42" s="7">
        <v>2.99</v>
      </c>
      <c r="E42" s="4">
        <v>0.68</v>
      </c>
      <c r="F42" s="9">
        <f t="shared" si="1"/>
        <v>4.3970588235294121</v>
      </c>
      <c r="G42" s="7" t="s">
        <v>44</v>
      </c>
      <c r="H42" s="7">
        <v>20180117</v>
      </c>
      <c r="I42" s="7" t="s">
        <v>263</v>
      </c>
    </row>
    <row r="43" spans="1:9" x14ac:dyDescent="0.35">
      <c r="A43" s="11" t="str">
        <f t="shared" si="0"/>
        <v>Compote de pommes (allégée en suc) - kg</v>
      </c>
      <c r="B43" s="19" t="s">
        <v>85</v>
      </c>
      <c r="C43" s="20" t="s">
        <v>547</v>
      </c>
      <c r="D43" s="20">
        <v>3.99</v>
      </c>
      <c r="E43" s="86">
        <v>0.65</v>
      </c>
      <c r="F43" s="5">
        <f t="shared" si="1"/>
        <v>6.1384615384615389</v>
      </c>
      <c r="G43" s="7" t="s">
        <v>26</v>
      </c>
      <c r="H43" s="11">
        <v>20180223</v>
      </c>
      <c r="I43" s="7" t="s">
        <v>263</v>
      </c>
    </row>
    <row r="44" spans="1:9" x14ac:dyDescent="0.35">
      <c r="A44" s="11" t="str">
        <f t="shared" si="0"/>
        <v>Concombre - Pi</v>
      </c>
      <c r="B44" s="11" t="s">
        <v>82</v>
      </c>
      <c r="C44" s="7" t="s">
        <v>265</v>
      </c>
      <c r="D44" s="7">
        <v>2.99</v>
      </c>
      <c r="E44" s="4">
        <v>1</v>
      </c>
      <c r="F44" s="9">
        <f t="shared" si="1"/>
        <v>2.99</v>
      </c>
      <c r="G44" s="7" t="s">
        <v>257</v>
      </c>
      <c r="H44" s="7">
        <v>20180108</v>
      </c>
      <c r="I44" s="7" t="s">
        <v>101</v>
      </c>
    </row>
    <row r="45" spans="1:9" x14ac:dyDescent="0.35">
      <c r="A45" s="11" t="str">
        <f t="shared" si="0"/>
        <v>Confiture Framboise 370g - Kg</v>
      </c>
      <c r="B45" s="11" t="s">
        <v>57</v>
      </c>
      <c r="C45" s="12" t="s">
        <v>58</v>
      </c>
      <c r="D45" s="3">
        <v>4.09</v>
      </c>
      <c r="E45" s="4">
        <v>0.37</v>
      </c>
      <c r="F45" s="9">
        <f t="shared" si="1"/>
        <v>11.054054054054054</v>
      </c>
      <c r="G45" s="12" t="s">
        <v>26</v>
      </c>
      <c r="H45" s="11">
        <v>20171230</v>
      </c>
      <c r="I45" s="7" t="s">
        <v>99</v>
      </c>
    </row>
    <row r="46" spans="1:9" x14ac:dyDescent="0.35">
      <c r="A46" s="11" t="str">
        <f t="shared" si="0"/>
        <v>Coriandre - kg</v>
      </c>
      <c r="B46" s="7" t="s">
        <v>246</v>
      </c>
      <c r="C46" s="7" t="s">
        <v>320</v>
      </c>
      <c r="D46" s="7">
        <v>2.0499999999999998</v>
      </c>
      <c r="E46" s="4">
        <v>0.03</v>
      </c>
      <c r="F46" s="9">
        <f t="shared" si="1"/>
        <v>68.333333333333329</v>
      </c>
      <c r="G46" s="7" t="s">
        <v>64</v>
      </c>
      <c r="H46" s="7" t="s">
        <v>64</v>
      </c>
      <c r="I46" s="7" t="s">
        <v>263</v>
      </c>
    </row>
    <row r="47" spans="1:9" x14ac:dyDescent="0.35">
      <c r="A47" s="11" t="str">
        <f t="shared" si="0"/>
        <v>Cornichon (vinaigre) - La Jardin bio - kg</v>
      </c>
      <c r="B47" s="7" t="s">
        <v>246</v>
      </c>
      <c r="C47" s="12" t="s">
        <v>602</v>
      </c>
      <c r="D47" s="12">
        <v>16.47</v>
      </c>
      <c r="E47" s="4">
        <f>0.66*3</f>
        <v>1.98</v>
      </c>
      <c r="F47" s="9">
        <f t="shared" si="1"/>
        <v>8.3181818181818183</v>
      </c>
      <c r="G47" s="12" t="s">
        <v>64</v>
      </c>
      <c r="H47" s="11" t="s">
        <v>64</v>
      </c>
      <c r="I47" s="7" t="s">
        <v>263</v>
      </c>
    </row>
    <row r="48" spans="1:9" x14ac:dyDescent="0.35">
      <c r="A48" s="11" t="str">
        <f t="shared" si="0"/>
        <v>Cote de porc (première) - kg</v>
      </c>
      <c r="B48" s="7" t="s">
        <v>77</v>
      </c>
      <c r="C48" s="7" t="s">
        <v>428</v>
      </c>
      <c r="D48" s="7">
        <v>6.81</v>
      </c>
      <c r="E48" s="4">
        <v>0.316</v>
      </c>
      <c r="F48" s="9">
        <f t="shared" si="1"/>
        <v>21.550632911392405</v>
      </c>
      <c r="G48" s="12" t="s">
        <v>26</v>
      </c>
      <c r="H48" s="7">
        <v>20180127</v>
      </c>
      <c r="I48" s="7" t="s">
        <v>263</v>
      </c>
    </row>
    <row r="49" spans="1:9" x14ac:dyDescent="0.35">
      <c r="A49" s="11" t="str">
        <f t="shared" si="0"/>
        <v>Coulommiers (Auchan bio) - kg</v>
      </c>
      <c r="B49" s="7" t="s">
        <v>293</v>
      </c>
      <c r="C49" s="7" t="s">
        <v>302</v>
      </c>
      <c r="D49" s="7">
        <v>3.39</v>
      </c>
      <c r="E49" s="4">
        <v>0.35</v>
      </c>
      <c r="F49" s="9">
        <f t="shared" si="1"/>
        <v>9.6857142857142868</v>
      </c>
      <c r="G49" s="7" t="s">
        <v>44</v>
      </c>
      <c r="H49" s="7">
        <v>20180117</v>
      </c>
      <c r="I49" s="7" t="s">
        <v>263</v>
      </c>
    </row>
    <row r="50" spans="1:9" x14ac:dyDescent="0.35">
      <c r="A50" s="11" t="str">
        <f t="shared" si="0"/>
        <v>Courgette - Pi</v>
      </c>
      <c r="B50" s="7" t="s">
        <v>79</v>
      </c>
      <c r="C50" s="3" t="s">
        <v>80</v>
      </c>
      <c r="D50" s="3">
        <v>0.99</v>
      </c>
      <c r="E50" s="4">
        <v>1</v>
      </c>
      <c r="F50" s="5">
        <f t="shared" si="1"/>
        <v>0.99</v>
      </c>
      <c r="G50" s="3" t="s">
        <v>72</v>
      </c>
      <c r="H50" s="7">
        <v>20180102</v>
      </c>
      <c r="I50" s="7" t="s">
        <v>101</v>
      </c>
    </row>
    <row r="51" spans="1:9" x14ac:dyDescent="0.35">
      <c r="A51" s="11" t="str">
        <f t="shared" si="0"/>
        <v>Crème fleurette (30%MG) - l</v>
      </c>
      <c r="B51" s="7" t="s">
        <v>293</v>
      </c>
      <c r="C51" s="3" t="s">
        <v>484</v>
      </c>
      <c r="D51" s="3">
        <v>2.6</v>
      </c>
      <c r="E51" s="4">
        <v>0.25</v>
      </c>
      <c r="F51" s="9">
        <f t="shared" si="1"/>
        <v>10.4</v>
      </c>
      <c r="G51" s="12" t="s">
        <v>26</v>
      </c>
      <c r="H51" s="7">
        <v>20180203</v>
      </c>
      <c r="I51" s="7" t="s">
        <v>259</v>
      </c>
    </row>
    <row r="52" spans="1:9" x14ac:dyDescent="0.35">
      <c r="A52" s="11" t="str">
        <f t="shared" si="0"/>
        <v>Crème fraiche épaisse (30%MG) - L</v>
      </c>
      <c r="B52" s="7" t="s">
        <v>293</v>
      </c>
      <c r="C52" s="3" t="s">
        <v>526</v>
      </c>
      <c r="D52" s="3">
        <v>1.3</v>
      </c>
      <c r="E52" s="4">
        <v>0.2</v>
      </c>
      <c r="F52" s="9">
        <f t="shared" si="1"/>
        <v>6.5</v>
      </c>
      <c r="G52" s="12" t="s">
        <v>26</v>
      </c>
      <c r="H52" s="7">
        <v>20180210</v>
      </c>
      <c r="I52" s="7" t="s">
        <v>100</v>
      </c>
    </row>
    <row r="53" spans="1:9" x14ac:dyDescent="0.35">
      <c r="A53" s="11" t="str">
        <f t="shared" si="0"/>
        <v>Crème liquide Auchan Bio (3 x 20cl) - L</v>
      </c>
      <c r="B53" s="7" t="s">
        <v>293</v>
      </c>
      <c r="C53" s="3" t="s">
        <v>43</v>
      </c>
      <c r="D53" s="3">
        <v>3.19</v>
      </c>
      <c r="E53" s="4">
        <f>3*0.2</f>
        <v>0.60000000000000009</v>
      </c>
      <c r="F53" s="9">
        <f t="shared" si="1"/>
        <v>5.3166666666666655</v>
      </c>
      <c r="G53" s="3" t="s">
        <v>44</v>
      </c>
      <c r="H53" s="7" t="s">
        <v>45</v>
      </c>
      <c r="I53" s="7" t="s">
        <v>100</v>
      </c>
    </row>
    <row r="54" spans="1:9" x14ac:dyDescent="0.35">
      <c r="A54" s="11" t="str">
        <f t="shared" si="0"/>
        <v>Crèmes vache légère (15% MG UHT, 3 crèmes) - L</v>
      </c>
      <c r="B54" s="7" t="s">
        <v>293</v>
      </c>
      <c r="C54" s="20" t="s">
        <v>102</v>
      </c>
      <c r="D54" s="20">
        <v>3.75</v>
      </c>
      <c r="E54" s="86">
        <f>3*0.2</f>
        <v>0.60000000000000009</v>
      </c>
      <c r="F54" s="9">
        <f t="shared" si="1"/>
        <v>6.2499999999999991</v>
      </c>
      <c r="G54" s="12" t="s">
        <v>26</v>
      </c>
      <c r="H54" s="11">
        <v>20171230</v>
      </c>
      <c r="I54" s="7" t="s">
        <v>100</v>
      </c>
    </row>
    <row r="55" spans="1:9" x14ac:dyDescent="0.35">
      <c r="A55" s="11" t="str">
        <f t="shared" si="0"/>
        <v>Cube Legume (6 cubes ; 60g) - Kg</v>
      </c>
      <c r="B55" s="7" t="s">
        <v>246</v>
      </c>
      <c r="C55" s="3" t="s">
        <v>442</v>
      </c>
      <c r="D55" s="3">
        <v>1.49</v>
      </c>
      <c r="E55" s="4">
        <v>0.06</v>
      </c>
      <c r="F55" s="9">
        <f t="shared" si="1"/>
        <v>24.833333333333336</v>
      </c>
      <c r="G55" s="3" t="s">
        <v>2</v>
      </c>
      <c r="H55" s="7" t="s">
        <v>64</v>
      </c>
      <c r="I55" s="7" t="s">
        <v>99</v>
      </c>
    </row>
    <row r="56" spans="1:9" x14ac:dyDescent="0.35">
      <c r="A56" s="11" t="str">
        <f t="shared" si="0"/>
        <v>Cube légumes dégraissé (9 x 10g) - Kg</v>
      </c>
      <c r="B56" s="7" t="s">
        <v>246</v>
      </c>
      <c r="C56" s="11" t="s">
        <v>441</v>
      </c>
      <c r="D56" s="20">
        <v>1.82</v>
      </c>
      <c r="E56" s="86">
        <f>9*0.01</f>
        <v>0.09</v>
      </c>
      <c r="F56" s="9">
        <f t="shared" si="1"/>
        <v>20.222222222222225</v>
      </c>
      <c r="G56" s="12" t="s">
        <v>44</v>
      </c>
      <c r="H56" s="11">
        <v>20180109</v>
      </c>
      <c r="I56" s="7" t="s">
        <v>99</v>
      </c>
    </row>
    <row r="57" spans="1:9" x14ac:dyDescent="0.35">
      <c r="A57" s="11" t="str">
        <f t="shared" si="0"/>
        <v>Cumin moulu (poudre) - kg</v>
      </c>
      <c r="B57" s="7" t="s">
        <v>246</v>
      </c>
      <c r="C57" s="3" t="s">
        <v>439</v>
      </c>
      <c r="D57" s="3">
        <v>2.85</v>
      </c>
      <c r="E57" s="4">
        <v>0.04</v>
      </c>
      <c r="F57" s="9">
        <f t="shared" si="1"/>
        <v>71.25</v>
      </c>
      <c r="G57" s="12" t="s">
        <v>45</v>
      </c>
      <c r="H57" s="11" t="s">
        <v>45</v>
      </c>
      <c r="I57" s="7" t="s">
        <v>263</v>
      </c>
    </row>
    <row r="58" spans="1:9" x14ac:dyDescent="0.35">
      <c r="A58" s="11" t="str">
        <f t="shared" si="0"/>
        <v>Curcuma frais bio - Kg</v>
      </c>
      <c r="B58" s="7" t="s">
        <v>246</v>
      </c>
      <c r="C58" s="7" t="s">
        <v>245</v>
      </c>
      <c r="D58" s="7">
        <v>2.89</v>
      </c>
      <c r="E58" s="4">
        <v>0.15</v>
      </c>
      <c r="F58" s="9">
        <f t="shared" si="1"/>
        <v>19.266666666666669</v>
      </c>
      <c r="G58" s="7" t="s">
        <v>44</v>
      </c>
      <c r="H58" s="7">
        <v>20180109</v>
      </c>
      <c r="I58" s="7" t="s">
        <v>99</v>
      </c>
    </row>
    <row r="59" spans="1:9" x14ac:dyDescent="0.35">
      <c r="A59" s="11" t="str">
        <f t="shared" si="0"/>
        <v>Curry Poudre (35g) - Kg</v>
      </c>
      <c r="B59" s="7" t="s">
        <v>246</v>
      </c>
      <c r="C59" s="3" t="s">
        <v>30</v>
      </c>
      <c r="D59" s="3">
        <v>2.77</v>
      </c>
      <c r="E59" s="4">
        <v>3.5000000000000003E-2</v>
      </c>
      <c r="F59" s="5">
        <f t="shared" si="1"/>
        <v>79.142857142857139</v>
      </c>
      <c r="G59" s="12" t="s">
        <v>26</v>
      </c>
      <c r="H59" s="7">
        <v>20171228</v>
      </c>
      <c r="I59" s="7" t="s">
        <v>99</v>
      </c>
    </row>
    <row r="60" spans="1:9" x14ac:dyDescent="0.35">
      <c r="A60" s="11" t="str">
        <f t="shared" si="0"/>
        <v>Dinde (escaloppe) - Kg</v>
      </c>
      <c r="B60" s="11" t="s">
        <v>76</v>
      </c>
      <c r="C60" s="12" t="s">
        <v>78</v>
      </c>
      <c r="D60" s="7">
        <v>2.1</v>
      </c>
      <c r="E60" s="106">
        <v>0.21199999999999999</v>
      </c>
      <c r="F60" s="5">
        <f t="shared" si="1"/>
        <v>9.9056603773584921</v>
      </c>
      <c r="G60" s="3" t="s">
        <v>72</v>
      </c>
      <c r="H60" s="11">
        <v>20180103</v>
      </c>
      <c r="I60" s="7" t="s">
        <v>99</v>
      </c>
    </row>
    <row r="61" spans="1:9" x14ac:dyDescent="0.35">
      <c r="A61" s="11" t="str">
        <f t="shared" si="0"/>
        <v>Echalottes - kg</v>
      </c>
      <c r="B61" s="11" t="s">
        <v>82</v>
      </c>
      <c r="C61" s="20" t="s">
        <v>481</v>
      </c>
      <c r="D61" s="20">
        <v>1.1499999999999999</v>
      </c>
      <c r="E61" s="86">
        <v>0.14399999999999999</v>
      </c>
      <c r="F61" s="5">
        <f t="shared" si="1"/>
        <v>7.9861111111111107</v>
      </c>
      <c r="G61" s="12" t="s">
        <v>26</v>
      </c>
      <c r="H61" s="7">
        <v>20180203</v>
      </c>
      <c r="I61" s="7" t="s">
        <v>263</v>
      </c>
    </row>
    <row r="62" spans="1:9" x14ac:dyDescent="0.35">
      <c r="A62" s="11" t="str">
        <f t="shared" si="0"/>
        <v>Emmental rapé (100g - 29%MG) - kg</v>
      </c>
      <c r="B62" s="7" t="s">
        <v>293</v>
      </c>
      <c r="C62" s="3" t="s">
        <v>487</v>
      </c>
      <c r="D62" s="3">
        <v>1.98</v>
      </c>
      <c r="E62" s="4">
        <v>0.1</v>
      </c>
      <c r="F62" s="5">
        <f t="shared" si="1"/>
        <v>19.799999999999997</v>
      </c>
      <c r="G62" s="12" t="s">
        <v>26</v>
      </c>
      <c r="H62" s="7">
        <v>20180203</v>
      </c>
      <c r="I62" s="7" t="s">
        <v>263</v>
      </c>
    </row>
    <row r="63" spans="1:9" x14ac:dyDescent="0.35">
      <c r="A63" s="11" t="str">
        <f t="shared" si="0"/>
        <v>Emmental rapé (200g) - kg</v>
      </c>
      <c r="B63" s="7" t="s">
        <v>293</v>
      </c>
      <c r="C63" s="7" t="s">
        <v>303</v>
      </c>
      <c r="D63" s="7">
        <v>2.15</v>
      </c>
      <c r="E63" s="4">
        <v>0.2</v>
      </c>
      <c r="F63" s="9">
        <f t="shared" si="1"/>
        <v>10.749999999999998</v>
      </c>
      <c r="G63" s="7" t="s">
        <v>44</v>
      </c>
      <c r="H63" s="7">
        <v>20180117</v>
      </c>
      <c r="I63" s="7" t="s">
        <v>263</v>
      </c>
    </row>
    <row r="64" spans="1:9" x14ac:dyDescent="0.35">
      <c r="A64" s="11" t="str">
        <f t="shared" si="0"/>
        <v>Emmental rapé 29%MG (100g) - Kg</v>
      </c>
      <c r="B64" s="7" t="s">
        <v>35</v>
      </c>
      <c r="C64" s="3" t="s">
        <v>34</v>
      </c>
      <c r="D64" s="3">
        <v>1.92</v>
      </c>
      <c r="E64" s="4">
        <v>0.1</v>
      </c>
      <c r="F64" s="5">
        <f t="shared" si="1"/>
        <v>19.2</v>
      </c>
      <c r="G64" s="12" t="s">
        <v>26</v>
      </c>
      <c r="H64" s="7">
        <v>20171228</v>
      </c>
      <c r="I64" s="7" t="s">
        <v>99</v>
      </c>
    </row>
    <row r="65" spans="1:9" x14ac:dyDescent="0.35">
      <c r="A65" s="11" t="str">
        <f t="shared" si="0"/>
        <v>Farine de blé T55 (1kg) - Kg</v>
      </c>
      <c r="B65" s="7" t="s">
        <v>32</v>
      </c>
      <c r="C65" s="3" t="s">
        <v>23</v>
      </c>
      <c r="D65" s="3">
        <v>2.2200000000000002</v>
      </c>
      <c r="E65" s="4">
        <v>1</v>
      </c>
      <c r="F65" s="5">
        <f t="shared" si="1"/>
        <v>2.2200000000000002</v>
      </c>
      <c r="G65" s="12" t="s">
        <v>26</v>
      </c>
      <c r="H65" s="7">
        <v>20171228</v>
      </c>
      <c r="I65" s="7" t="s">
        <v>99</v>
      </c>
    </row>
    <row r="66" spans="1:9" x14ac:dyDescent="0.35">
      <c r="A66" s="11" t="str">
        <f t="shared" ref="A66:A129" si="2">IF(OR(C66="",I66=""),"z",C66&amp;" - "&amp;I66)</f>
        <v>Flans au caramel - kg</v>
      </c>
      <c r="B66" s="7" t="s">
        <v>293</v>
      </c>
      <c r="C66" s="7" t="s">
        <v>294</v>
      </c>
      <c r="D66" s="7">
        <v>1.59</v>
      </c>
      <c r="E66" s="4">
        <f>0.125*4</f>
        <v>0.5</v>
      </c>
      <c r="F66" s="9">
        <f t="shared" ref="F66:F129" si="3">D66/E66</f>
        <v>3.18</v>
      </c>
      <c r="G66" s="7" t="s">
        <v>44</v>
      </c>
      <c r="H66" s="7">
        <v>20180117</v>
      </c>
      <c r="I66" s="7" t="s">
        <v>263</v>
      </c>
    </row>
    <row r="67" spans="1:9" x14ac:dyDescent="0.35">
      <c r="A67" s="11" t="str">
        <f t="shared" si="2"/>
        <v>Flocons d'Avoine Sans Gluten - Kg</v>
      </c>
      <c r="B67" s="7" t="s">
        <v>432</v>
      </c>
      <c r="C67" s="8" t="s">
        <v>38</v>
      </c>
      <c r="D67" s="3">
        <v>2.85</v>
      </c>
      <c r="E67" s="4">
        <v>0.5</v>
      </c>
      <c r="F67" s="9">
        <f t="shared" si="3"/>
        <v>5.7</v>
      </c>
      <c r="G67" s="12" t="s">
        <v>26</v>
      </c>
      <c r="H67" s="7">
        <v>20171228</v>
      </c>
      <c r="I67" s="7" t="s">
        <v>99</v>
      </c>
    </row>
    <row r="68" spans="1:9" x14ac:dyDescent="0.35">
      <c r="A68" s="11" t="str">
        <f t="shared" si="2"/>
        <v>Fromage à la coupe - Cantal entre deux AOP - kg</v>
      </c>
      <c r="B68" s="7" t="s">
        <v>293</v>
      </c>
      <c r="C68" s="12" t="s">
        <v>489</v>
      </c>
      <c r="D68" s="12">
        <v>4.34</v>
      </c>
      <c r="E68" s="4">
        <v>0.2</v>
      </c>
      <c r="F68" s="9">
        <f t="shared" si="3"/>
        <v>21.7</v>
      </c>
      <c r="G68" s="12" t="s">
        <v>26</v>
      </c>
      <c r="H68" s="7">
        <v>20180203</v>
      </c>
      <c r="I68" s="7" t="s">
        <v>263</v>
      </c>
    </row>
    <row r="69" spans="1:9" x14ac:dyDescent="0.35">
      <c r="A69" s="11" t="str">
        <f t="shared" si="2"/>
        <v>Fromage à la coupe - Douceur du Tarn (26%MG) - kg</v>
      </c>
      <c r="B69" s="7" t="s">
        <v>293</v>
      </c>
      <c r="C69" s="12" t="s">
        <v>488</v>
      </c>
      <c r="D69" s="12">
        <v>4.62</v>
      </c>
      <c r="E69" s="4">
        <v>0.11600000000000001</v>
      </c>
      <c r="F69" s="9">
        <f t="shared" si="3"/>
        <v>39.827586206896548</v>
      </c>
      <c r="G69" s="12" t="s">
        <v>26</v>
      </c>
      <c r="H69" s="7">
        <v>20180203</v>
      </c>
      <c r="I69" s="7" t="s">
        <v>263</v>
      </c>
    </row>
    <row r="70" spans="1:9" x14ac:dyDescent="0.35">
      <c r="A70" s="11" t="str">
        <f t="shared" si="2"/>
        <v>Fromage à la coupe - Le Grand Ribeaupierre - kg</v>
      </c>
      <c r="B70" s="7" t="s">
        <v>293</v>
      </c>
      <c r="C70" s="12" t="s">
        <v>490</v>
      </c>
      <c r="D70" s="12">
        <v>2.71</v>
      </c>
      <c r="E70" s="4">
        <v>0.13600000000000001</v>
      </c>
      <c r="F70" s="9">
        <f t="shared" si="3"/>
        <v>19.926470588235293</v>
      </c>
      <c r="G70" s="12" t="s">
        <v>26</v>
      </c>
      <c r="H70" s="7">
        <v>20180203</v>
      </c>
      <c r="I70" s="7" t="s">
        <v>263</v>
      </c>
    </row>
    <row r="71" spans="1:9" x14ac:dyDescent="0.35">
      <c r="A71" s="11" t="str">
        <f t="shared" si="2"/>
        <v>Gingembre frais bio - Kg</v>
      </c>
      <c r="B71" s="7" t="s">
        <v>246</v>
      </c>
      <c r="C71" s="7" t="s">
        <v>255</v>
      </c>
      <c r="D71" s="7">
        <v>0.99</v>
      </c>
      <c r="E71" s="4">
        <v>0.15</v>
      </c>
      <c r="F71" s="9">
        <f t="shared" si="3"/>
        <v>6.6000000000000005</v>
      </c>
      <c r="G71" s="7" t="s">
        <v>44</v>
      </c>
      <c r="H71" s="7">
        <v>20180109</v>
      </c>
      <c r="I71" s="7" t="s">
        <v>99</v>
      </c>
    </row>
    <row r="72" spans="1:9" x14ac:dyDescent="0.35">
      <c r="A72" s="11" t="str">
        <f t="shared" si="2"/>
        <v>Gnocchi - Kg</v>
      </c>
      <c r="B72" s="7" t="s">
        <v>18</v>
      </c>
      <c r="C72" s="8" t="s">
        <v>15</v>
      </c>
      <c r="D72" s="3">
        <v>3.29</v>
      </c>
      <c r="E72" s="4">
        <v>0.3</v>
      </c>
      <c r="F72" s="5">
        <f t="shared" si="3"/>
        <v>10.966666666666667</v>
      </c>
      <c r="G72" s="3" t="s">
        <v>2</v>
      </c>
      <c r="H72" s="7">
        <v>20171228</v>
      </c>
      <c r="I72" s="7" t="s">
        <v>99</v>
      </c>
    </row>
    <row r="73" spans="1:9" x14ac:dyDescent="0.35">
      <c r="A73" s="11" t="str">
        <f t="shared" si="2"/>
        <v>Gressin Epautre Pur (125g) - kg</v>
      </c>
      <c r="B73" s="11" t="s">
        <v>577</v>
      </c>
      <c r="C73" s="3" t="s">
        <v>578</v>
      </c>
      <c r="D73" s="3">
        <v>2.14</v>
      </c>
      <c r="E73" s="4">
        <v>0.125</v>
      </c>
      <c r="F73" s="5">
        <f t="shared" si="3"/>
        <v>17.12</v>
      </c>
      <c r="G73" s="3" t="s">
        <v>22</v>
      </c>
      <c r="H73" s="7">
        <v>20180301</v>
      </c>
      <c r="I73" s="7" t="s">
        <v>263</v>
      </c>
    </row>
    <row r="74" spans="1:9" x14ac:dyDescent="0.35">
      <c r="A74" s="11" t="str">
        <f t="shared" si="2"/>
        <v>Gruyere (240g) - Kg</v>
      </c>
      <c r="B74" s="7" t="s">
        <v>35</v>
      </c>
      <c r="C74" s="3" t="s">
        <v>4</v>
      </c>
      <c r="D74" s="3">
        <v>4.99</v>
      </c>
      <c r="E74" s="4">
        <v>0.24</v>
      </c>
      <c r="F74" s="5">
        <f t="shared" si="3"/>
        <v>20.791666666666668</v>
      </c>
      <c r="G74" s="3" t="s">
        <v>2</v>
      </c>
      <c r="H74" s="7">
        <v>20171227</v>
      </c>
      <c r="I74" s="7" t="s">
        <v>99</v>
      </c>
    </row>
    <row r="75" spans="1:9" x14ac:dyDescent="0.35">
      <c r="A75" s="11" t="str">
        <f t="shared" si="2"/>
        <v>Haricots verts bio (surgelé Picard) - kg</v>
      </c>
      <c r="B75" s="11" t="s">
        <v>82</v>
      </c>
      <c r="C75" s="3" t="s">
        <v>555</v>
      </c>
      <c r="D75" s="3">
        <v>2.6</v>
      </c>
      <c r="E75" s="4">
        <v>0.6</v>
      </c>
      <c r="F75" s="5">
        <f t="shared" si="3"/>
        <v>4.3333333333333339</v>
      </c>
      <c r="G75" s="12" t="s">
        <v>26</v>
      </c>
      <c r="H75" s="7" t="s">
        <v>45</v>
      </c>
      <c r="I75" s="7" t="s">
        <v>263</v>
      </c>
    </row>
    <row r="76" spans="1:9" x14ac:dyDescent="0.35">
      <c r="A76" s="11" t="str">
        <f t="shared" si="2"/>
        <v>Herbes de provence bio - Kg</v>
      </c>
      <c r="B76" s="7" t="s">
        <v>246</v>
      </c>
      <c r="C76" s="3" t="s">
        <v>66</v>
      </c>
      <c r="D76" s="3">
        <v>1.1200000000000001</v>
      </c>
      <c r="E76" s="4">
        <v>0.02</v>
      </c>
      <c r="F76" s="9">
        <f t="shared" si="3"/>
        <v>56.000000000000007</v>
      </c>
      <c r="G76" s="3" t="s">
        <v>44</v>
      </c>
      <c r="H76" s="7" t="s">
        <v>64</v>
      </c>
      <c r="I76" s="7" t="s">
        <v>99</v>
      </c>
    </row>
    <row r="77" spans="1:9" x14ac:dyDescent="0.35">
      <c r="A77" s="11" t="str">
        <f t="shared" si="2"/>
        <v>Huile Coco (20cl) - L</v>
      </c>
      <c r="B77" s="7" t="s">
        <v>9</v>
      </c>
      <c r="C77" s="7" t="s">
        <v>28</v>
      </c>
      <c r="D77" s="7">
        <v>5.15</v>
      </c>
      <c r="E77" s="4">
        <v>0.2</v>
      </c>
      <c r="F77" s="9">
        <f t="shared" si="3"/>
        <v>25.75</v>
      </c>
      <c r="G77" s="12" t="s">
        <v>26</v>
      </c>
      <c r="H77" s="7">
        <v>20171228</v>
      </c>
      <c r="I77" s="7" t="s">
        <v>100</v>
      </c>
    </row>
    <row r="78" spans="1:9" x14ac:dyDescent="0.35">
      <c r="A78" s="11" t="str">
        <f t="shared" si="2"/>
        <v>Huile de tournesol Desodorisée - L</v>
      </c>
      <c r="B78" s="7" t="s">
        <v>9</v>
      </c>
      <c r="C78" s="7" t="s">
        <v>579</v>
      </c>
      <c r="D78" s="7">
        <v>4.99</v>
      </c>
      <c r="E78" s="4">
        <v>1</v>
      </c>
      <c r="F78" s="9">
        <f t="shared" si="3"/>
        <v>4.99</v>
      </c>
      <c r="G78" s="12" t="s">
        <v>26</v>
      </c>
      <c r="H78" s="7">
        <v>20180301</v>
      </c>
      <c r="I78" s="7" t="s">
        <v>100</v>
      </c>
    </row>
    <row r="79" spans="1:9" x14ac:dyDescent="0.35">
      <c r="A79" s="11" t="str">
        <f t="shared" si="2"/>
        <v>Huile d'Olive 3L BJP (Biovenue) - L</v>
      </c>
      <c r="B79" s="7" t="s">
        <v>9</v>
      </c>
      <c r="C79" s="7" t="s">
        <v>558</v>
      </c>
      <c r="D79" s="7">
        <v>22.5</v>
      </c>
      <c r="E79" s="4">
        <v>3</v>
      </c>
      <c r="F79" s="9">
        <f t="shared" si="3"/>
        <v>7.5</v>
      </c>
      <c r="G79" s="12" t="s">
        <v>559</v>
      </c>
      <c r="H79" s="7">
        <v>20180226</v>
      </c>
      <c r="I79" s="7" t="s">
        <v>100</v>
      </c>
    </row>
    <row r="80" spans="1:9" x14ac:dyDescent="0.35">
      <c r="A80" s="11" t="str">
        <f t="shared" si="2"/>
        <v>Huile d'Olive Vierge Extra 75 - L</v>
      </c>
      <c r="B80" s="7" t="s">
        <v>9</v>
      </c>
      <c r="C80" s="3" t="s">
        <v>8</v>
      </c>
      <c r="D80" s="3">
        <v>5.89</v>
      </c>
      <c r="E80" s="4">
        <v>0.75</v>
      </c>
      <c r="F80" s="9">
        <f t="shared" si="3"/>
        <v>7.8533333333333326</v>
      </c>
      <c r="G80" s="3" t="s">
        <v>2</v>
      </c>
      <c r="H80" s="7">
        <v>20171227</v>
      </c>
      <c r="I80" s="7" t="s">
        <v>100</v>
      </c>
    </row>
    <row r="81" spans="1:9" x14ac:dyDescent="0.35">
      <c r="A81" s="11" t="str">
        <f t="shared" si="2"/>
        <v>Jambon blanc (4 tranches) - kg</v>
      </c>
      <c r="B81" s="11" t="s">
        <v>252</v>
      </c>
      <c r="C81" s="7" t="s">
        <v>427</v>
      </c>
      <c r="D81" s="7">
        <v>5.59</v>
      </c>
      <c r="E81" s="4">
        <v>0.18</v>
      </c>
      <c r="F81" s="9">
        <f t="shared" si="3"/>
        <v>31.055555555555557</v>
      </c>
      <c r="G81" s="7" t="s">
        <v>26</v>
      </c>
      <c r="H81" s="7">
        <v>20180127</v>
      </c>
      <c r="I81" s="7" t="s">
        <v>263</v>
      </c>
    </row>
    <row r="82" spans="1:9" x14ac:dyDescent="0.35">
      <c r="A82" s="11" t="str">
        <f t="shared" si="2"/>
        <v>Jus de Mandarine (1L) - l</v>
      </c>
      <c r="B82" s="7" t="s">
        <v>313</v>
      </c>
      <c r="C82" s="7" t="s">
        <v>549</v>
      </c>
      <c r="D82" s="7">
        <v>3.99</v>
      </c>
      <c r="E82" s="4">
        <v>1</v>
      </c>
      <c r="F82" s="9">
        <f t="shared" si="3"/>
        <v>3.99</v>
      </c>
      <c r="G82" s="7" t="s">
        <v>26</v>
      </c>
      <c r="H82" s="7">
        <v>20180224</v>
      </c>
      <c r="I82" s="7" t="s">
        <v>259</v>
      </c>
    </row>
    <row r="83" spans="1:9" x14ac:dyDescent="0.35">
      <c r="A83" s="11" t="str">
        <f t="shared" si="2"/>
        <v>Jus d'orange Tetra (1,5L) - l</v>
      </c>
      <c r="B83" s="7" t="s">
        <v>313</v>
      </c>
      <c r="C83" s="7" t="s">
        <v>606</v>
      </c>
      <c r="D83" s="7">
        <v>3.1</v>
      </c>
      <c r="E83" s="4">
        <v>1.5</v>
      </c>
      <c r="F83" s="9">
        <f t="shared" si="3"/>
        <v>2.0666666666666669</v>
      </c>
      <c r="G83" s="7" t="s">
        <v>26</v>
      </c>
      <c r="H83" s="11">
        <v>20180303</v>
      </c>
      <c r="I83" s="7" t="s">
        <v>259</v>
      </c>
    </row>
    <row r="84" spans="1:9" x14ac:dyDescent="0.35">
      <c r="A84" s="11" t="str">
        <f t="shared" si="2"/>
        <v>La Salvetat (6x1,25l) - L</v>
      </c>
      <c r="B84" s="11" t="s">
        <v>46</v>
      </c>
      <c r="C84" s="12" t="s">
        <v>47</v>
      </c>
      <c r="D84" s="12">
        <v>9.5399999999999991</v>
      </c>
      <c r="E84" s="4">
        <f>6*1.25</f>
        <v>7.5</v>
      </c>
      <c r="F84" s="9">
        <f t="shared" si="3"/>
        <v>1.2719999999999998</v>
      </c>
      <c r="G84" s="3" t="s">
        <v>44</v>
      </c>
      <c r="H84" s="7" t="s">
        <v>45</v>
      </c>
      <c r="I84" s="7" t="s">
        <v>100</v>
      </c>
    </row>
    <row r="85" spans="1:9" x14ac:dyDescent="0.35">
      <c r="A85" s="11" t="str">
        <f t="shared" si="2"/>
        <v>Lait (Bio Alpenmilch) - L</v>
      </c>
      <c r="B85" s="7" t="s">
        <v>293</v>
      </c>
      <c r="C85" s="10" t="s">
        <v>205</v>
      </c>
      <c r="D85" s="19">
        <v>1.39</v>
      </c>
      <c r="E85" s="87">
        <v>1</v>
      </c>
      <c r="F85" s="2">
        <f t="shared" si="3"/>
        <v>1.39</v>
      </c>
      <c r="G85" s="12" t="s">
        <v>72</v>
      </c>
      <c r="H85" s="11">
        <v>20180102</v>
      </c>
      <c r="I85" s="7" t="s">
        <v>100</v>
      </c>
    </row>
    <row r="86" spans="1:9" x14ac:dyDescent="0.35">
      <c r="A86" s="11" t="str">
        <f t="shared" si="2"/>
        <v>Lait bio 1/2 écrémé - l</v>
      </c>
      <c r="B86" s="7" t="s">
        <v>293</v>
      </c>
      <c r="C86" s="10" t="s">
        <v>425</v>
      </c>
      <c r="D86" s="19">
        <v>1.02</v>
      </c>
      <c r="E86" s="87">
        <v>1</v>
      </c>
      <c r="F86" s="2">
        <f t="shared" si="3"/>
        <v>1.02</v>
      </c>
      <c r="G86" s="12" t="s">
        <v>26</v>
      </c>
      <c r="H86" s="11">
        <v>20180127</v>
      </c>
      <c r="I86" s="7" t="s">
        <v>259</v>
      </c>
    </row>
    <row r="87" spans="1:9" x14ac:dyDescent="0.35">
      <c r="A87" s="11" t="str">
        <f t="shared" si="2"/>
        <v>Lait de coco (225 ml, Le Jardin bio) - l</v>
      </c>
      <c r="B87" s="7" t="s">
        <v>293</v>
      </c>
      <c r="C87" s="7" t="s">
        <v>316</v>
      </c>
      <c r="D87" s="7">
        <v>2.23</v>
      </c>
      <c r="E87" s="4">
        <v>0.22500000000000001</v>
      </c>
      <c r="F87" s="9">
        <f t="shared" si="3"/>
        <v>9.9111111111111114</v>
      </c>
      <c r="G87" s="7" t="s">
        <v>44</v>
      </c>
      <c r="H87" s="7">
        <v>20180117</v>
      </c>
      <c r="I87" s="7" t="s">
        <v>259</v>
      </c>
    </row>
    <row r="88" spans="1:9" x14ac:dyDescent="0.35">
      <c r="A88" s="11" t="str">
        <f t="shared" si="2"/>
        <v>Lait de coco (400ml) - l</v>
      </c>
      <c r="B88" s="7" t="s">
        <v>293</v>
      </c>
      <c r="C88" s="7" t="s">
        <v>315</v>
      </c>
      <c r="D88" s="7">
        <v>1.88</v>
      </c>
      <c r="E88" s="4">
        <v>0.4</v>
      </c>
      <c r="F88" s="9">
        <f t="shared" si="3"/>
        <v>4.6999999999999993</v>
      </c>
      <c r="G88" s="7" t="s">
        <v>257</v>
      </c>
      <c r="H88" s="7">
        <v>20180114</v>
      </c>
      <c r="I88" s="7" t="s">
        <v>259</v>
      </c>
    </row>
    <row r="89" spans="1:9" x14ac:dyDescent="0.35">
      <c r="A89" s="11" t="str">
        <f t="shared" si="2"/>
        <v>Lardon nature bio (Bonjour Campagne) - Kg</v>
      </c>
      <c r="B89" s="11" t="s">
        <v>252</v>
      </c>
      <c r="C89" s="7" t="s">
        <v>253</v>
      </c>
      <c r="D89" s="7">
        <v>4.95</v>
      </c>
      <c r="E89" s="4">
        <v>0.2</v>
      </c>
      <c r="F89" s="9">
        <f t="shared" si="3"/>
        <v>24.75</v>
      </c>
      <c r="G89" s="7" t="s">
        <v>44</v>
      </c>
      <c r="H89" s="7">
        <v>20180109</v>
      </c>
      <c r="I89" s="7" t="s">
        <v>99</v>
      </c>
    </row>
    <row r="90" spans="1:9" x14ac:dyDescent="0.35">
      <c r="A90" s="11" t="str">
        <f t="shared" si="2"/>
        <v>Lardons fumés (Auchan bio) - kg</v>
      </c>
      <c r="B90" s="11" t="s">
        <v>252</v>
      </c>
      <c r="C90" s="7" t="s">
        <v>291</v>
      </c>
      <c r="D90" s="7">
        <v>2.09</v>
      </c>
      <c r="E90" s="4">
        <f>0.075*2</f>
        <v>0.15</v>
      </c>
      <c r="F90" s="9">
        <f t="shared" si="3"/>
        <v>13.933333333333334</v>
      </c>
      <c r="G90" s="7" t="s">
        <v>44</v>
      </c>
      <c r="H90" s="7">
        <v>20180117</v>
      </c>
      <c r="I90" s="7" t="s">
        <v>263</v>
      </c>
    </row>
    <row r="91" spans="1:9" x14ac:dyDescent="0.35">
      <c r="A91" s="11" t="str">
        <f t="shared" si="2"/>
        <v>Laurier (feuilles) - Kg</v>
      </c>
      <c r="B91" s="19" t="s">
        <v>83</v>
      </c>
      <c r="C91" s="20" t="s">
        <v>182</v>
      </c>
      <c r="D91" s="20">
        <v>1.89</v>
      </c>
      <c r="E91" s="86">
        <v>0.05</v>
      </c>
      <c r="F91" s="5">
        <f t="shared" si="3"/>
        <v>37.799999999999997</v>
      </c>
      <c r="G91" s="3" t="s">
        <v>72</v>
      </c>
      <c r="H91" s="11">
        <v>20180103</v>
      </c>
      <c r="I91" s="7" t="s">
        <v>99</v>
      </c>
    </row>
    <row r="92" spans="1:9" x14ac:dyDescent="0.35">
      <c r="A92" s="11" t="str">
        <f t="shared" si="2"/>
        <v>Légumes pour soupe (carotte, sélérie, poireau) - Kg</v>
      </c>
      <c r="B92" s="11" t="s">
        <v>82</v>
      </c>
      <c r="C92" s="12" t="s">
        <v>81</v>
      </c>
      <c r="D92" s="12">
        <v>1</v>
      </c>
      <c r="E92" s="106">
        <v>0.4</v>
      </c>
      <c r="F92" s="5">
        <f t="shared" si="3"/>
        <v>2.5</v>
      </c>
      <c r="G92" s="3" t="s">
        <v>72</v>
      </c>
      <c r="H92" s="11">
        <v>20180103</v>
      </c>
      <c r="I92" s="7" t="s">
        <v>99</v>
      </c>
    </row>
    <row r="93" spans="1:9" x14ac:dyDescent="0.35">
      <c r="A93" s="11" t="str">
        <f t="shared" si="2"/>
        <v>Lentilles vertes bio - Jardin bio - kg</v>
      </c>
      <c r="B93" s="11" t="s">
        <v>82</v>
      </c>
      <c r="C93" s="7" t="s">
        <v>286</v>
      </c>
      <c r="D93" s="7">
        <v>2.27</v>
      </c>
      <c r="E93" s="4">
        <v>0.25</v>
      </c>
      <c r="F93" s="9">
        <f t="shared" si="3"/>
        <v>9.08</v>
      </c>
      <c r="G93" s="7" t="s">
        <v>64</v>
      </c>
      <c r="H93" s="7" t="s">
        <v>64</v>
      </c>
      <c r="I93" s="7" t="s">
        <v>263</v>
      </c>
    </row>
    <row r="94" spans="1:9" x14ac:dyDescent="0.35">
      <c r="A94" s="11" t="str">
        <f t="shared" si="2"/>
        <v>Levure Boulagère Fraiche (cube) - Kg</v>
      </c>
      <c r="B94" s="7" t="s">
        <v>31</v>
      </c>
      <c r="C94" s="153" t="s">
        <v>33</v>
      </c>
      <c r="D94" s="154">
        <v>0.65</v>
      </c>
      <c r="E94" s="151">
        <v>4.2000000000000003E-2</v>
      </c>
      <c r="F94" s="5">
        <f t="shared" si="3"/>
        <v>15.476190476190476</v>
      </c>
      <c r="G94" s="12" t="s">
        <v>26</v>
      </c>
      <c r="H94" s="7">
        <v>20171228</v>
      </c>
      <c r="I94" s="7" t="s">
        <v>99</v>
      </c>
    </row>
    <row r="95" spans="1:9" x14ac:dyDescent="0.35">
      <c r="A95" s="11" t="str">
        <f t="shared" si="2"/>
        <v>Liquide Vaisselle Citron (500ml) - L</v>
      </c>
      <c r="B95" s="7" t="s">
        <v>27</v>
      </c>
      <c r="C95" s="10" t="s">
        <v>25</v>
      </c>
      <c r="D95" s="7">
        <v>1.99</v>
      </c>
      <c r="E95" s="4">
        <v>0.5</v>
      </c>
      <c r="F95" s="9">
        <f t="shared" si="3"/>
        <v>3.98</v>
      </c>
      <c r="G95" s="12" t="s">
        <v>26</v>
      </c>
      <c r="H95" s="7">
        <v>20171228</v>
      </c>
      <c r="I95" s="7" t="s">
        <v>100</v>
      </c>
    </row>
    <row r="96" spans="1:9" x14ac:dyDescent="0.35">
      <c r="A96" s="11" t="str">
        <f t="shared" si="2"/>
        <v>Mandarines - kg</v>
      </c>
      <c r="B96" s="11" t="s">
        <v>85</v>
      </c>
      <c r="C96" s="3" t="s">
        <v>605</v>
      </c>
      <c r="D96" s="3">
        <v>1.34</v>
      </c>
      <c r="E96" s="4">
        <v>0.39400000000000002</v>
      </c>
      <c r="F96" s="9">
        <f t="shared" si="3"/>
        <v>3.4010152284263961</v>
      </c>
      <c r="G96" s="7" t="s">
        <v>26</v>
      </c>
      <c r="H96" s="7">
        <v>20180303</v>
      </c>
      <c r="I96" s="7" t="s">
        <v>263</v>
      </c>
    </row>
    <row r="97" spans="1:9" x14ac:dyDescent="0.35">
      <c r="A97" s="11" t="str">
        <f t="shared" si="2"/>
        <v>Miel d'acacia (bio) - Mességué - kg</v>
      </c>
      <c r="B97" s="11" t="s">
        <v>57</v>
      </c>
      <c r="C97" s="7" t="s">
        <v>443</v>
      </c>
      <c r="D97" s="7">
        <v>8.1</v>
      </c>
      <c r="E97" s="4">
        <v>0.25</v>
      </c>
      <c r="F97" s="9">
        <f t="shared" si="3"/>
        <v>32.4</v>
      </c>
      <c r="G97" s="7" t="s">
        <v>64</v>
      </c>
      <c r="H97" s="7" t="s">
        <v>64</v>
      </c>
      <c r="I97" s="7" t="s">
        <v>263</v>
      </c>
    </row>
    <row r="98" spans="1:9" x14ac:dyDescent="0.35">
      <c r="A98" s="11" t="str">
        <f t="shared" si="2"/>
        <v>Moutarde de Dijon bio (200g) - kg</v>
      </c>
      <c r="B98" s="7" t="s">
        <v>246</v>
      </c>
      <c r="C98" s="7" t="s">
        <v>341</v>
      </c>
      <c r="D98" s="7">
        <v>2.25</v>
      </c>
      <c r="E98" s="4">
        <v>0.2</v>
      </c>
      <c r="F98" s="9">
        <f t="shared" si="3"/>
        <v>11.25</v>
      </c>
      <c r="G98" s="7" t="s">
        <v>45</v>
      </c>
      <c r="H98" s="7" t="s">
        <v>45</v>
      </c>
      <c r="I98" s="7" t="s">
        <v>263</v>
      </c>
    </row>
    <row r="99" spans="1:9" x14ac:dyDescent="0.35">
      <c r="A99" s="11" t="str">
        <f t="shared" si="2"/>
        <v>Navets - Kg</v>
      </c>
      <c r="B99" s="11" t="s">
        <v>82</v>
      </c>
      <c r="C99" s="7" t="s">
        <v>482</v>
      </c>
      <c r="D99" s="7">
        <v>2.48</v>
      </c>
      <c r="E99" s="4">
        <v>0.63600000000000001</v>
      </c>
      <c r="F99" s="9">
        <f t="shared" si="3"/>
        <v>3.89937106918239</v>
      </c>
      <c r="G99" s="12" t="s">
        <v>26</v>
      </c>
      <c r="H99" s="11">
        <v>20171230</v>
      </c>
      <c r="I99" s="7" t="s">
        <v>99</v>
      </c>
    </row>
    <row r="100" spans="1:9" x14ac:dyDescent="0.35">
      <c r="A100" s="11" t="str">
        <f t="shared" si="2"/>
        <v>Nectar de Goyave (Sirop Agave) - l</v>
      </c>
      <c r="B100" s="7" t="s">
        <v>313</v>
      </c>
      <c r="C100" s="7" t="s">
        <v>548</v>
      </c>
      <c r="D100" s="7">
        <v>3.85</v>
      </c>
      <c r="E100" s="4">
        <v>0.75</v>
      </c>
      <c r="F100" s="9">
        <f t="shared" si="3"/>
        <v>5.1333333333333337</v>
      </c>
      <c r="G100" s="7" t="s">
        <v>26</v>
      </c>
      <c r="H100" s="7">
        <v>20180224</v>
      </c>
      <c r="I100" s="7" t="s">
        <v>259</v>
      </c>
    </row>
    <row r="101" spans="1:9" x14ac:dyDescent="0.35">
      <c r="A101" s="11" t="str">
        <f t="shared" si="2"/>
        <v>Noilly Prat - L</v>
      </c>
      <c r="B101" s="11" t="s">
        <v>496</v>
      </c>
      <c r="C101" s="3" t="s">
        <v>497</v>
      </c>
      <c r="D101" s="3">
        <v>15.3</v>
      </c>
      <c r="E101" s="4">
        <v>0.75</v>
      </c>
      <c r="F101" s="9">
        <f t="shared" si="3"/>
        <v>20.400000000000002</v>
      </c>
      <c r="G101" s="12" t="s">
        <v>498</v>
      </c>
      <c r="H101" s="11">
        <v>20180203</v>
      </c>
      <c r="I101" s="7" t="s">
        <v>100</v>
      </c>
    </row>
    <row r="102" spans="1:9" x14ac:dyDescent="0.35">
      <c r="A102" s="11" t="str">
        <f t="shared" si="2"/>
        <v>Noix de cajou bio grillés et salées (Equitable) - kg</v>
      </c>
      <c r="B102" s="7" t="s">
        <v>306</v>
      </c>
      <c r="C102" s="7" t="s">
        <v>309</v>
      </c>
      <c r="D102" s="7">
        <v>3.74</v>
      </c>
      <c r="E102" s="4">
        <v>0.125</v>
      </c>
      <c r="F102" s="9">
        <f t="shared" si="3"/>
        <v>29.92</v>
      </c>
      <c r="G102" s="7" t="s">
        <v>44</v>
      </c>
      <c r="H102" s="7">
        <v>20180117</v>
      </c>
      <c r="I102" s="7" t="s">
        <v>263</v>
      </c>
    </row>
    <row r="103" spans="1:9" x14ac:dyDescent="0.35">
      <c r="A103" s="11" t="str">
        <f t="shared" si="2"/>
        <v>Noix Seche - Kg</v>
      </c>
      <c r="B103" s="11" t="s">
        <v>85</v>
      </c>
      <c r="C103" s="3" t="s">
        <v>13</v>
      </c>
      <c r="D103" s="3">
        <v>0.53</v>
      </c>
      <c r="E103" s="4">
        <v>7.0000000000000007E-2</v>
      </c>
      <c r="F103" s="5">
        <f t="shared" si="3"/>
        <v>7.5714285714285712</v>
      </c>
      <c r="G103" s="3" t="s">
        <v>2</v>
      </c>
      <c r="H103" s="7">
        <v>20171227</v>
      </c>
      <c r="I103" s="7" t="s">
        <v>99</v>
      </c>
    </row>
    <row r="104" spans="1:9" x14ac:dyDescent="0.35">
      <c r="A104" s="11" t="str">
        <f t="shared" si="2"/>
        <v>Œufs (10) - Carrefour bio - Pi</v>
      </c>
      <c r="B104" s="7" t="s">
        <v>84</v>
      </c>
      <c r="C104" s="3" t="s">
        <v>256</v>
      </c>
      <c r="D104" s="7">
        <v>3.54</v>
      </c>
      <c r="E104" s="4">
        <v>10</v>
      </c>
      <c r="F104" s="9">
        <f t="shared" si="3"/>
        <v>0.35399999999999998</v>
      </c>
      <c r="G104" s="7" t="s">
        <v>257</v>
      </c>
      <c r="H104" s="7">
        <v>20180114</v>
      </c>
      <c r="I104" s="7" t="s">
        <v>101</v>
      </c>
    </row>
    <row r="105" spans="1:9" x14ac:dyDescent="0.35">
      <c r="A105" s="11" t="str">
        <f t="shared" si="2"/>
        <v>Œufs (10) CAL 53/63 Moyen - Pi</v>
      </c>
      <c r="B105" s="7" t="s">
        <v>293</v>
      </c>
      <c r="C105" s="3" t="s">
        <v>485</v>
      </c>
      <c r="D105" s="3">
        <v>4.2</v>
      </c>
      <c r="E105" s="4">
        <v>10</v>
      </c>
      <c r="F105" s="5">
        <f t="shared" si="3"/>
        <v>0.42000000000000004</v>
      </c>
      <c r="G105" s="12" t="s">
        <v>26</v>
      </c>
      <c r="H105" s="7">
        <v>20180203</v>
      </c>
      <c r="I105" s="7" t="s">
        <v>101</v>
      </c>
    </row>
    <row r="106" spans="1:9" x14ac:dyDescent="0.35">
      <c r="A106" s="11" t="str">
        <f t="shared" si="2"/>
        <v>Œufs (6) Cal 63/73 Gros - Pi</v>
      </c>
      <c r="B106" s="7" t="s">
        <v>84</v>
      </c>
      <c r="C106" s="3" t="s">
        <v>37</v>
      </c>
      <c r="D106" s="3">
        <v>2.7</v>
      </c>
      <c r="E106" s="4">
        <v>6</v>
      </c>
      <c r="F106" s="5">
        <f t="shared" si="3"/>
        <v>0.45</v>
      </c>
      <c r="G106" s="12" t="s">
        <v>26</v>
      </c>
      <c r="H106" s="7">
        <v>20171228</v>
      </c>
      <c r="I106" s="7" t="s">
        <v>101</v>
      </c>
    </row>
    <row r="107" spans="1:9" x14ac:dyDescent="0.35">
      <c r="A107" s="11" t="str">
        <f t="shared" si="2"/>
        <v>Œufs fermier bio (6) - Cocorette - Pi</v>
      </c>
      <c r="B107" s="7" t="s">
        <v>293</v>
      </c>
      <c r="C107" s="7" t="s">
        <v>486</v>
      </c>
      <c r="D107" s="7">
        <v>2.79</v>
      </c>
      <c r="E107" s="4">
        <v>6</v>
      </c>
      <c r="F107" s="9">
        <f t="shared" si="3"/>
        <v>0.46500000000000002</v>
      </c>
      <c r="G107" s="7" t="s">
        <v>44</v>
      </c>
      <c r="H107" s="7">
        <v>20180117</v>
      </c>
      <c r="I107" s="7" t="s">
        <v>101</v>
      </c>
    </row>
    <row r="108" spans="1:9" x14ac:dyDescent="0.35">
      <c r="A108" s="11" t="str">
        <f t="shared" si="2"/>
        <v>Oignon bio Auchan (143g/oignon) - Kg</v>
      </c>
      <c r="B108" s="11" t="s">
        <v>82</v>
      </c>
      <c r="C108" s="7" t="s">
        <v>318</v>
      </c>
      <c r="D108" s="7">
        <v>3.29</v>
      </c>
      <c r="E108" s="4">
        <v>1</v>
      </c>
      <c r="F108" s="9">
        <f t="shared" si="3"/>
        <v>3.29</v>
      </c>
      <c r="G108" s="7" t="s">
        <v>44</v>
      </c>
      <c r="H108" s="7">
        <v>20180109</v>
      </c>
      <c r="I108" s="7" t="s">
        <v>99</v>
      </c>
    </row>
    <row r="109" spans="1:9" x14ac:dyDescent="0.35">
      <c r="A109" s="11" t="str">
        <f t="shared" si="2"/>
        <v>Oignon jaune (bio) - Kg</v>
      </c>
      <c r="B109" s="11" t="s">
        <v>82</v>
      </c>
      <c r="C109" s="3" t="s">
        <v>480</v>
      </c>
      <c r="D109" s="3">
        <v>0.57999999999999996</v>
      </c>
      <c r="E109" s="4">
        <v>0.17799999999999999</v>
      </c>
      <c r="F109" s="9">
        <f t="shared" si="3"/>
        <v>3.2584269662921348</v>
      </c>
      <c r="G109" s="12" t="s">
        <v>26</v>
      </c>
      <c r="H109" s="11">
        <v>20171230</v>
      </c>
      <c r="I109" s="7" t="s">
        <v>99</v>
      </c>
    </row>
    <row r="110" spans="1:9" x14ac:dyDescent="0.35">
      <c r="A110" s="11" t="str">
        <f t="shared" si="2"/>
        <v>Oranges - kg</v>
      </c>
      <c r="B110" s="11" t="s">
        <v>85</v>
      </c>
      <c r="C110" s="7" t="s">
        <v>483</v>
      </c>
      <c r="D110" s="7">
        <v>1.26</v>
      </c>
      <c r="E110" s="4">
        <v>0.50800000000000001</v>
      </c>
      <c r="F110" s="9">
        <f t="shared" si="3"/>
        <v>2.4803149606299213</v>
      </c>
      <c r="G110" s="7" t="s">
        <v>26</v>
      </c>
      <c r="H110" s="7">
        <v>20180203</v>
      </c>
      <c r="I110" s="7" t="s">
        <v>263</v>
      </c>
    </row>
    <row r="111" spans="1:9" x14ac:dyDescent="0.35">
      <c r="A111" s="11" t="str">
        <f t="shared" si="2"/>
        <v>Pain complet (400g) - Kg</v>
      </c>
      <c r="B111" s="7" t="s">
        <v>7</v>
      </c>
      <c r="C111" s="3" t="s">
        <v>3</v>
      </c>
      <c r="D111" s="3">
        <v>2.4</v>
      </c>
      <c r="E111" s="4">
        <v>0.4</v>
      </c>
      <c r="F111" s="5">
        <f t="shared" si="3"/>
        <v>5.9999999999999991</v>
      </c>
      <c r="G111" s="3" t="s">
        <v>2</v>
      </c>
      <c r="H111" s="7">
        <v>20171227</v>
      </c>
      <c r="I111" s="7" t="s">
        <v>99</v>
      </c>
    </row>
    <row r="112" spans="1:9" x14ac:dyDescent="0.35">
      <c r="A112" s="11" t="str">
        <f t="shared" si="2"/>
        <v>Pain complet au 3 céréales ; Bjorg (500g) - Kg</v>
      </c>
      <c r="B112" s="7" t="s">
        <v>7</v>
      </c>
      <c r="C112" s="7" t="s">
        <v>249</v>
      </c>
      <c r="D112" s="7">
        <v>2.62</v>
      </c>
      <c r="E112" s="4">
        <v>0.5</v>
      </c>
      <c r="F112" s="9">
        <f t="shared" si="3"/>
        <v>5.24</v>
      </c>
      <c r="G112" s="7" t="s">
        <v>44</v>
      </c>
      <c r="H112" s="7">
        <v>20180109</v>
      </c>
      <c r="I112" s="7" t="s">
        <v>99</v>
      </c>
    </row>
    <row r="113" spans="1:9" x14ac:dyDescent="0.35">
      <c r="A113" s="11" t="str">
        <f t="shared" si="2"/>
        <v>Pain complet seigle epeautre - kg</v>
      </c>
      <c r="B113" s="7" t="s">
        <v>7</v>
      </c>
      <c r="C113" s="7" t="s">
        <v>607</v>
      </c>
      <c r="D113" s="7">
        <v>2.7</v>
      </c>
      <c r="E113" s="4">
        <v>0.5</v>
      </c>
      <c r="F113" s="9">
        <f t="shared" si="3"/>
        <v>5.4</v>
      </c>
      <c r="G113" s="7" t="s">
        <v>26</v>
      </c>
      <c r="H113" s="7">
        <v>20180303</v>
      </c>
      <c r="I113" s="7" t="s">
        <v>263</v>
      </c>
    </row>
    <row r="114" spans="1:9" x14ac:dyDescent="0.35">
      <c r="A114" s="11" t="str">
        <f t="shared" si="2"/>
        <v>Panais - kg</v>
      </c>
      <c r="B114" s="11" t="s">
        <v>82</v>
      </c>
      <c r="C114" s="7" t="s">
        <v>370</v>
      </c>
      <c r="D114" s="7">
        <v>0.75</v>
      </c>
      <c r="E114" s="4">
        <v>0.184</v>
      </c>
      <c r="F114" s="9">
        <f t="shared" si="3"/>
        <v>4.0760869565217392</v>
      </c>
      <c r="G114" s="12" t="s">
        <v>26</v>
      </c>
      <c r="H114" s="7">
        <v>20180119</v>
      </c>
      <c r="I114" s="7" t="s">
        <v>263</v>
      </c>
    </row>
    <row r="115" spans="1:9" x14ac:dyDescent="0.35">
      <c r="A115" s="11" t="str">
        <f t="shared" si="2"/>
        <v>Paprika doux (Cook) - kg</v>
      </c>
      <c r="B115" s="7" t="s">
        <v>246</v>
      </c>
      <c r="C115" s="3" t="s">
        <v>437</v>
      </c>
      <c r="D115" s="3">
        <v>3.45</v>
      </c>
      <c r="E115" s="4">
        <v>0.04</v>
      </c>
      <c r="F115" s="9">
        <f t="shared" si="3"/>
        <v>86.25</v>
      </c>
      <c r="G115" s="12" t="s">
        <v>45</v>
      </c>
      <c r="H115" s="11" t="s">
        <v>45</v>
      </c>
      <c r="I115" s="7" t="s">
        <v>263</v>
      </c>
    </row>
    <row r="116" spans="1:9" x14ac:dyDescent="0.35">
      <c r="A116" s="11" t="str">
        <f t="shared" si="2"/>
        <v>Parmesan reggiano - kg</v>
      </c>
      <c r="B116" s="7" t="s">
        <v>293</v>
      </c>
      <c r="C116" s="7" t="s">
        <v>369</v>
      </c>
      <c r="D116" s="7">
        <v>3.69</v>
      </c>
      <c r="E116" s="4">
        <v>0.09</v>
      </c>
      <c r="F116" s="9">
        <f t="shared" si="3"/>
        <v>41</v>
      </c>
      <c r="G116" s="12" t="s">
        <v>26</v>
      </c>
      <c r="H116" s="7">
        <v>20180119</v>
      </c>
      <c r="I116" s="7" t="s">
        <v>263</v>
      </c>
    </row>
    <row r="117" spans="1:9" x14ac:dyDescent="0.35">
      <c r="A117" s="11" t="str">
        <f t="shared" si="2"/>
        <v>Patate douce - Kg</v>
      </c>
      <c r="B117" s="11" t="s">
        <v>82</v>
      </c>
      <c r="C117" s="7" t="s">
        <v>250</v>
      </c>
      <c r="D117" s="7">
        <v>1.69</v>
      </c>
      <c r="E117" s="4">
        <v>0.5</v>
      </c>
      <c r="F117" s="9">
        <f t="shared" si="3"/>
        <v>3.38</v>
      </c>
      <c r="G117" s="7" t="s">
        <v>44</v>
      </c>
      <c r="H117" s="7">
        <v>20180109</v>
      </c>
      <c r="I117" s="7" t="s">
        <v>99</v>
      </c>
    </row>
    <row r="118" spans="1:9" x14ac:dyDescent="0.35">
      <c r="A118" s="11" t="str">
        <f t="shared" si="2"/>
        <v>Pâtes Fusilli Express (Jardin Bio) - Kg</v>
      </c>
      <c r="B118" s="11" t="s">
        <v>69</v>
      </c>
      <c r="C118" s="3" t="s">
        <v>138</v>
      </c>
      <c r="D118" s="3">
        <v>2.2000000000000002</v>
      </c>
      <c r="E118" s="4">
        <v>0.5</v>
      </c>
      <c r="F118" s="9">
        <f t="shared" si="3"/>
        <v>4.4000000000000004</v>
      </c>
      <c r="G118" s="3" t="s">
        <v>44</v>
      </c>
      <c r="H118" s="7" t="s">
        <v>64</v>
      </c>
      <c r="I118" s="7" t="s">
        <v>99</v>
      </c>
    </row>
    <row r="119" spans="1:9" x14ac:dyDescent="0.35">
      <c r="A119" s="11" t="str">
        <f t="shared" si="2"/>
        <v>Pennette bio (Barilla) - kg</v>
      </c>
      <c r="B119" s="7" t="s">
        <v>310</v>
      </c>
      <c r="C119" s="7" t="s">
        <v>311</v>
      </c>
      <c r="D119" s="7">
        <v>1.96</v>
      </c>
      <c r="E119" s="4">
        <v>0.5</v>
      </c>
      <c r="F119" s="9">
        <f t="shared" si="3"/>
        <v>3.92</v>
      </c>
      <c r="G119" s="7" t="s">
        <v>44</v>
      </c>
      <c r="H119" s="7">
        <v>20180117</v>
      </c>
      <c r="I119" s="7" t="s">
        <v>263</v>
      </c>
    </row>
    <row r="120" spans="1:9" x14ac:dyDescent="0.35">
      <c r="A120" s="11" t="str">
        <f t="shared" si="2"/>
        <v>Persil Plat (18g) - Kg</v>
      </c>
      <c r="B120" s="7" t="s">
        <v>246</v>
      </c>
      <c r="C120" s="3" t="s">
        <v>29</v>
      </c>
      <c r="D120" s="3">
        <v>3.05</v>
      </c>
      <c r="E120" s="4">
        <v>1.7999999999999999E-2</v>
      </c>
      <c r="F120" s="5">
        <f t="shared" si="3"/>
        <v>169.44444444444446</v>
      </c>
      <c r="G120" s="12" t="s">
        <v>26</v>
      </c>
      <c r="H120" s="7">
        <v>20171228</v>
      </c>
      <c r="I120" s="7" t="s">
        <v>99</v>
      </c>
    </row>
    <row r="121" spans="1:9" x14ac:dyDescent="0.35">
      <c r="A121" s="11" t="str">
        <f t="shared" si="2"/>
        <v>Piment d'Espelette (Puréé) - Kg</v>
      </c>
      <c r="B121" s="7" t="s">
        <v>246</v>
      </c>
      <c r="C121" s="8" t="s">
        <v>364</v>
      </c>
      <c r="D121" s="3">
        <v>4.16</v>
      </c>
      <c r="E121" s="4">
        <v>0.05</v>
      </c>
      <c r="F121" s="5">
        <f t="shared" si="3"/>
        <v>83.2</v>
      </c>
      <c r="G121" s="12" t="s">
        <v>26</v>
      </c>
      <c r="H121" s="7">
        <v>20171228</v>
      </c>
      <c r="I121" s="7" t="s">
        <v>99</v>
      </c>
    </row>
    <row r="122" spans="1:9" x14ac:dyDescent="0.35">
      <c r="A122" s="11" t="str">
        <f t="shared" si="2"/>
        <v>Pintage (roti) - kg</v>
      </c>
      <c r="B122" s="7" t="s">
        <v>77</v>
      </c>
      <c r="C122" s="7" t="s">
        <v>476</v>
      </c>
      <c r="D122" s="7">
        <v>8.36</v>
      </c>
      <c r="E122" s="4">
        <v>0.35799999999999998</v>
      </c>
      <c r="F122" s="9">
        <f t="shared" si="3"/>
        <v>23.351955307262568</v>
      </c>
      <c r="G122" s="12" t="s">
        <v>26</v>
      </c>
      <c r="H122" s="7">
        <v>20180203</v>
      </c>
      <c r="I122" s="7" t="s">
        <v>263</v>
      </c>
    </row>
    <row r="123" spans="1:9" x14ac:dyDescent="0.35">
      <c r="A123" s="11" t="str">
        <f t="shared" si="2"/>
        <v>Poireau - Kg</v>
      </c>
      <c r="B123" s="11" t="s">
        <v>82</v>
      </c>
      <c r="C123" s="3" t="s">
        <v>56</v>
      </c>
      <c r="D123" s="3">
        <v>1.59</v>
      </c>
      <c r="E123" s="4">
        <v>0.34599999999999997</v>
      </c>
      <c r="F123" s="9">
        <f t="shared" si="3"/>
        <v>4.5953757225433529</v>
      </c>
      <c r="G123" s="12" t="s">
        <v>26</v>
      </c>
      <c r="H123" s="11">
        <v>20171230</v>
      </c>
      <c r="I123" s="7" t="s">
        <v>99</v>
      </c>
    </row>
    <row r="124" spans="1:9" x14ac:dyDescent="0.35">
      <c r="A124" s="11" t="str">
        <f t="shared" si="2"/>
        <v>Pois chiches - kg</v>
      </c>
      <c r="B124" s="11" t="s">
        <v>82</v>
      </c>
      <c r="C124" s="7" t="s">
        <v>450</v>
      </c>
      <c r="D124" s="7">
        <v>1.94</v>
      </c>
      <c r="E124" s="146">
        <v>0.25</v>
      </c>
      <c r="F124" s="9">
        <f t="shared" si="3"/>
        <v>7.76</v>
      </c>
      <c r="G124" s="12" t="s">
        <v>26</v>
      </c>
      <c r="H124" s="7">
        <v>20180127</v>
      </c>
      <c r="I124" s="7" t="s">
        <v>263</v>
      </c>
    </row>
    <row r="125" spans="1:9" x14ac:dyDescent="0.35">
      <c r="A125" s="11" t="str">
        <f t="shared" si="2"/>
        <v>Poivre moulin noir (50g) - Kg</v>
      </c>
      <c r="B125" s="7" t="s">
        <v>246</v>
      </c>
      <c r="C125" s="3" t="s">
        <v>24</v>
      </c>
      <c r="D125" s="3">
        <v>4.71</v>
      </c>
      <c r="E125" s="4">
        <v>0.05</v>
      </c>
      <c r="F125" s="5">
        <f t="shared" si="3"/>
        <v>94.199999999999989</v>
      </c>
      <c r="G125" s="12" t="s">
        <v>26</v>
      </c>
      <c r="H125" s="7">
        <v>20171228</v>
      </c>
      <c r="I125" s="7" t="s">
        <v>99</v>
      </c>
    </row>
    <row r="126" spans="1:9" x14ac:dyDescent="0.35">
      <c r="A126" s="11" t="str">
        <f t="shared" si="2"/>
        <v>Poivron orange - Kg</v>
      </c>
      <c r="B126" s="11" t="s">
        <v>82</v>
      </c>
      <c r="C126" s="3" t="s">
        <v>63</v>
      </c>
      <c r="D126" s="3">
        <v>1.6</v>
      </c>
      <c r="E126" s="4">
        <v>0.2</v>
      </c>
      <c r="F126" s="9">
        <f t="shared" si="3"/>
        <v>8</v>
      </c>
      <c r="G126" s="3" t="s">
        <v>45</v>
      </c>
      <c r="H126" s="7" t="s">
        <v>64</v>
      </c>
      <c r="I126" s="7" t="s">
        <v>99</v>
      </c>
    </row>
    <row r="127" spans="1:9" x14ac:dyDescent="0.35">
      <c r="A127" s="11" t="str">
        <f t="shared" si="2"/>
        <v>Poivrons jaunes (x2) - kg</v>
      </c>
      <c r="B127" s="11" t="s">
        <v>82</v>
      </c>
      <c r="C127" s="7" t="s">
        <v>287</v>
      </c>
      <c r="D127" s="7">
        <v>2</v>
      </c>
      <c r="E127" s="4">
        <v>0.3</v>
      </c>
      <c r="F127" s="9">
        <f t="shared" si="3"/>
        <v>6.666666666666667</v>
      </c>
      <c r="G127" s="7" t="s">
        <v>257</v>
      </c>
      <c r="H127" s="7">
        <v>20180116</v>
      </c>
      <c r="I127" s="7" t="s">
        <v>263</v>
      </c>
    </row>
    <row r="128" spans="1:9" x14ac:dyDescent="0.35">
      <c r="A128" s="11" t="str">
        <f t="shared" si="2"/>
        <v>Poivrons jaunes et rouge - kg</v>
      </c>
      <c r="B128" s="7" t="s">
        <v>82</v>
      </c>
      <c r="C128" s="150" t="s">
        <v>292</v>
      </c>
      <c r="D128" s="7">
        <v>2.95</v>
      </c>
      <c r="E128" s="4">
        <v>0.4</v>
      </c>
      <c r="F128" s="9">
        <f t="shared" si="3"/>
        <v>7.375</v>
      </c>
      <c r="G128" s="7" t="s">
        <v>44</v>
      </c>
      <c r="H128" s="7">
        <v>20180117</v>
      </c>
      <c r="I128" s="7" t="s">
        <v>263</v>
      </c>
    </row>
    <row r="129" spans="1:9" x14ac:dyDescent="0.35">
      <c r="A129" s="11" t="str">
        <f t="shared" si="2"/>
        <v>Pommes bio - kg</v>
      </c>
      <c r="B129" s="11" t="s">
        <v>85</v>
      </c>
      <c r="C129" s="7" t="s">
        <v>266</v>
      </c>
      <c r="D129" s="7">
        <v>3.5</v>
      </c>
      <c r="E129" s="4">
        <f>0.15*4</f>
        <v>0.6</v>
      </c>
      <c r="F129" s="9">
        <f t="shared" si="3"/>
        <v>5.8333333333333339</v>
      </c>
      <c r="G129" s="7" t="s">
        <v>257</v>
      </c>
      <c r="H129" s="7">
        <v>20180108</v>
      </c>
      <c r="I129" s="7" t="s">
        <v>263</v>
      </c>
    </row>
    <row r="130" spans="1:9" x14ac:dyDescent="0.35">
      <c r="A130" s="11" t="str">
        <f t="shared" ref="A130:A193" si="4">IF(OR(C130="",I130=""),"z",C130&amp;" - "&amp;I130)</f>
        <v>Pommes bio rouge - kg</v>
      </c>
      <c r="B130" s="11" t="s">
        <v>85</v>
      </c>
      <c r="C130" s="7" t="s">
        <v>604</v>
      </c>
      <c r="D130" s="7">
        <v>2.36</v>
      </c>
      <c r="E130" s="4">
        <v>0.59199999999999997</v>
      </c>
      <c r="F130" s="9">
        <f t="shared" ref="F130:F193" si="5">D130/E130</f>
        <v>3.9864864864864864</v>
      </c>
      <c r="G130" s="7" t="s">
        <v>26</v>
      </c>
      <c r="H130" s="7">
        <v>20180303</v>
      </c>
      <c r="I130" s="7" t="s">
        <v>263</v>
      </c>
    </row>
    <row r="131" spans="1:9" x14ac:dyDescent="0.35">
      <c r="A131" s="11" t="str">
        <f t="shared" si="4"/>
        <v>Pommes de terre bio - Kg</v>
      </c>
      <c r="B131" s="11" t="s">
        <v>82</v>
      </c>
      <c r="C131" s="3" t="s">
        <v>70</v>
      </c>
      <c r="D131" s="3">
        <v>4.99</v>
      </c>
      <c r="E131" s="4">
        <v>2.5</v>
      </c>
      <c r="F131" s="9">
        <f t="shared" si="5"/>
        <v>1.996</v>
      </c>
      <c r="G131" s="3" t="s">
        <v>44</v>
      </c>
      <c r="H131" s="7" t="s">
        <v>71</v>
      </c>
      <c r="I131" s="7" t="s">
        <v>99</v>
      </c>
    </row>
    <row r="132" spans="1:9" x14ac:dyDescent="0.35">
      <c r="A132" s="11" t="str">
        <f t="shared" si="4"/>
        <v>Pommes de terre bio (non lavées) - kg</v>
      </c>
      <c r="B132" s="11" t="s">
        <v>82</v>
      </c>
      <c r="C132" s="7" t="s">
        <v>371</v>
      </c>
      <c r="D132" s="7">
        <v>1.59</v>
      </c>
      <c r="E132" s="4">
        <v>0.66200000000000003</v>
      </c>
      <c r="F132" s="9">
        <f t="shared" si="5"/>
        <v>2.4018126888217521</v>
      </c>
      <c r="G132" s="12" t="s">
        <v>26</v>
      </c>
      <c r="H132" s="7">
        <v>20180119</v>
      </c>
      <c r="I132" s="7" t="s">
        <v>263</v>
      </c>
    </row>
    <row r="133" spans="1:9" x14ac:dyDescent="0.35">
      <c r="A133" s="11" t="str">
        <f t="shared" si="4"/>
        <v>Poulet (cuisses) - kg</v>
      </c>
      <c r="B133" s="7" t="s">
        <v>77</v>
      </c>
      <c r="C133" s="7" t="s">
        <v>523</v>
      </c>
      <c r="D133" s="7">
        <v>9.3800000000000008</v>
      </c>
      <c r="E133" s="4">
        <v>0.68400000000000005</v>
      </c>
      <c r="F133" s="9">
        <f t="shared" si="5"/>
        <v>13.713450292397662</v>
      </c>
      <c r="G133" s="12" t="s">
        <v>26</v>
      </c>
      <c r="H133" s="7">
        <v>20180210</v>
      </c>
      <c r="I133" s="7" t="s">
        <v>263</v>
      </c>
    </row>
    <row r="134" spans="1:9" x14ac:dyDescent="0.35">
      <c r="A134" s="11" t="str">
        <f t="shared" si="4"/>
        <v>Poulet (filets) - kg</v>
      </c>
      <c r="B134" s="11" t="s">
        <v>76</v>
      </c>
      <c r="C134" s="7" t="s">
        <v>322</v>
      </c>
      <c r="D134" s="7">
        <v>8.44</v>
      </c>
      <c r="E134" s="4">
        <v>0.35</v>
      </c>
      <c r="F134" s="9">
        <f t="shared" si="5"/>
        <v>24.114285714285714</v>
      </c>
      <c r="G134" s="7" t="s">
        <v>257</v>
      </c>
      <c r="H134" s="7" t="s">
        <v>289</v>
      </c>
      <c r="I134" s="7" t="s">
        <v>263</v>
      </c>
    </row>
    <row r="135" spans="1:9" x14ac:dyDescent="0.35">
      <c r="A135" s="11" t="str">
        <f t="shared" si="4"/>
        <v>Poulet entier - kg</v>
      </c>
      <c r="B135" s="7" t="s">
        <v>77</v>
      </c>
      <c r="C135" s="7" t="s">
        <v>429</v>
      </c>
      <c r="D135" s="7">
        <v>19.62</v>
      </c>
      <c r="E135" s="4">
        <v>1.3720000000000001</v>
      </c>
      <c r="F135" s="9">
        <f t="shared" si="5"/>
        <v>14.300291545189504</v>
      </c>
      <c r="G135" s="12" t="s">
        <v>26</v>
      </c>
      <c r="H135" s="7">
        <v>20180127</v>
      </c>
      <c r="I135" s="7" t="s">
        <v>263</v>
      </c>
    </row>
    <row r="136" spans="1:9" x14ac:dyDescent="0.35">
      <c r="A136" s="11" t="str">
        <f t="shared" si="4"/>
        <v>Poulet noir fermier bio (filets) - kg</v>
      </c>
      <c r="B136" s="7" t="s">
        <v>77</v>
      </c>
      <c r="C136" s="7" t="s">
        <v>358</v>
      </c>
      <c r="D136" s="7">
        <v>13.59</v>
      </c>
      <c r="E136" s="4">
        <v>0.38400000000000001</v>
      </c>
      <c r="F136" s="9">
        <f t="shared" si="5"/>
        <v>35.390625</v>
      </c>
      <c r="G136" s="3" t="s">
        <v>2</v>
      </c>
      <c r="H136" s="7">
        <v>20180118</v>
      </c>
      <c r="I136" s="7" t="s">
        <v>263</v>
      </c>
    </row>
    <row r="137" spans="1:9" x14ac:dyDescent="0.35">
      <c r="A137" s="11" t="str">
        <f t="shared" si="4"/>
        <v>Pulpe de tomates - Kg</v>
      </c>
      <c r="B137" s="11" t="s">
        <v>82</v>
      </c>
      <c r="C137" s="7" t="s">
        <v>258</v>
      </c>
      <c r="D137" s="7">
        <v>1.56</v>
      </c>
      <c r="E137" s="4">
        <v>0.4</v>
      </c>
      <c r="F137" s="9">
        <f t="shared" si="5"/>
        <v>3.9</v>
      </c>
      <c r="G137" s="7" t="s">
        <v>257</v>
      </c>
      <c r="H137" s="7">
        <v>20180114</v>
      </c>
      <c r="I137" s="7" t="s">
        <v>99</v>
      </c>
    </row>
    <row r="138" spans="1:9" x14ac:dyDescent="0.35">
      <c r="A138" s="11" t="str">
        <f t="shared" si="4"/>
        <v>Pur jus d'orange (Auchan bio) - l</v>
      </c>
      <c r="B138" s="7" t="s">
        <v>313</v>
      </c>
      <c r="C138" s="7" t="s">
        <v>314</v>
      </c>
      <c r="D138" s="7">
        <v>3.07</v>
      </c>
      <c r="E138" s="4">
        <v>1</v>
      </c>
      <c r="F138" s="9">
        <f t="shared" si="5"/>
        <v>3.07</v>
      </c>
      <c r="G138" s="7" t="s">
        <v>44</v>
      </c>
      <c r="H138" s="7">
        <v>20180117</v>
      </c>
      <c r="I138" s="7" t="s">
        <v>259</v>
      </c>
    </row>
    <row r="139" spans="1:9" x14ac:dyDescent="0.35">
      <c r="A139" s="11" t="str">
        <f t="shared" si="4"/>
        <v>Pyramide Chêvre (Auchan bio) - Kg</v>
      </c>
      <c r="B139" s="7" t="s">
        <v>293</v>
      </c>
      <c r="C139" s="7" t="s">
        <v>254</v>
      </c>
      <c r="D139" s="7">
        <v>2.75</v>
      </c>
      <c r="E139" s="4">
        <v>0.125</v>
      </c>
      <c r="F139" s="9">
        <f t="shared" si="5"/>
        <v>22</v>
      </c>
      <c r="G139" s="7" t="s">
        <v>44</v>
      </c>
      <c r="H139" s="7">
        <v>20180109</v>
      </c>
      <c r="I139" s="7" t="s">
        <v>99</v>
      </c>
    </row>
    <row r="140" spans="1:9" x14ac:dyDescent="0.35">
      <c r="A140" s="11" t="str">
        <f t="shared" si="4"/>
        <v>Raisins secs  - Kg</v>
      </c>
      <c r="B140" s="152" t="s">
        <v>88</v>
      </c>
      <c r="C140" s="20" t="s">
        <v>89</v>
      </c>
      <c r="D140" s="10">
        <v>0.85</v>
      </c>
      <c r="E140" s="86">
        <v>0.25</v>
      </c>
      <c r="F140" s="5">
        <f t="shared" si="5"/>
        <v>3.4</v>
      </c>
      <c r="G140" s="3" t="s">
        <v>72</v>
      </c>
      <c r="H140" s="11">
        <v>20180103</v>
      </c>
      <c r="I140" s="7" t="s">
        <v>99</v>
      </c>
    </row>
    <row r="141" spans="1:9" x14ac:dyDescent="0.35">
      <c r="A141" s="11" t="str">
        <f t="shared" si="4"/>
        <v>Raisins secs (Thompson bio) - kg</v>
      </c>
      <c r="B141" s="11" t="s">
        <v>162</v>
      </c>
      <c r="C141" s="7" t="s">
        <v>431</v>
      </c>
      <c r="D141" s="7">
        <v>3.33</v>
      </c>
      <c r="E141" s="4">
        <v>0.25</v>
      </c>
      <c r="F141" s="5">
        <f t="shared" si="5"/>
        <v>13.32</v>
      </c>
      <c r="G141" s="7" t="s">
        <v>26</v>
      </c>
      <c r="H141" s="7" t="s">
        <v>64</v>
      </c>
      <c r="I141" s="7" t="s">
        <v>263</v>
      </c>
    </row>
    <row r="142" spans="1:9" x14ac:dyDescent="0.35">
      <c r="A142" s="11" t="str">
        <f t="shared" si="4"/>
        <v>Raviolis aux Aubergines - Kg</v>
      </c>
      <c r="B142" s="7" t="s">
        <v>18</v>
      </c>
      <c r="C142" s="8" t="s">
        <v>17</v>
      </c>
      <c r="D142" s="3">
        <v>3.49</v>
      </c>
      <c r="E142" s="4">
        <v>0.25</v>
      </c>
      <c r="F142" s="5">
        <f t="shared" si="5"/>
        <v>13.96</v>
      </c>
      <c r="G142" s="3" t="s">
        <v>2</v>
      </c>
      <c r="H142" s="7">
        <v>20171228</v>
      </c>
      <c r="I142" s="7" t="s">
        <v>99</v>
      </c>
    </row>
    <row r="143" spans="1:9" x14ac:dyDescent="0.35">
      <c r="A143" s="11" t="str">
        <f t="shared" si="4"/>
        <v>Riz Basmati bio (Priméal, 500g) - kg</v>
      </c>
      <c r="B143" s="7" t="s">
        <v>432</v>
      </c>
      <c r="C143" s="7" t="s">
        <v>366</v>
      </c>
      <c r="D143" s="7">
        <v>2.7</v>
      </c>
      <c r="E143" s="4">
        <v>0.5</v>
      </c>
      <c r="F143" s="9">
        <f t="shared" si="5"/>
        <v>5.4</v>
      </c>
      <c r="G143" s="7" t="s">
        <v>64</v>
      </c>
      <c r="H143" s="7" t="s">
        <v>64</v>
      </c>
      <c r="I143" s="7" t="s">
        <v>263</v>
      </c>
    </row>
    <row r="144" spans="1:9" x14ac:dyDescent="0.35">
      <c r="A144" s="11" t="str">
        <f t="shared" si="4"/>
        <v>Riz Basmati bio demi-complet (Vrac) - Kg</v>
      </c>
      <c r="B144" s="7" t="s">
        <v>432</v>
      </c>
      <c r="C144" s="8" t="s">
        <v>560</v>
      </c>
      <c r="D144" s="3">
        <v>0.91</v>
      </c>
      <c r="E144" s="4">
        <v>0.182</v>
      </c>
      <c r="F144" s="9">
        <f t="shared" si="5"/>
        <v>5</v>
      </c>
      <c r="G144" s="12" t="s">
        <v>26</v>
      </c>
      <c r="H144" s="7">
        <v>20180226</v>
      </c>
      <c r="I144" s="7" t="s">
        <v>99</v>
      </c>
    </row>
    <row r="145" spans="1:9" x14ac:dyDescent="0.35">
      <c r="A145" s="11" t="str">
        <f t="shared" si="4"/>
        <v>Riz long Risotto - kg</v>
      </c>
      <c r="B145" s="7" t="s">
        <v>432</v>
      </c>
      <c r="C145" s="8" t="s">
        <v>528</v>
      </c>
      <c r="D145" s="3">
        <v>3.46</v>
      </c>
      <c r="E145" s="4">
        <v>0.5</v>
      </c>
      <c r="F145" s="5">
        <f t="shared" si="5"/>
        <v>6.92</v>
      </c>
      <c r="G145" s="12" t="s">
        <v>26</v>
      </c>
      <c r="H145" s="7">
        <v>20180207</v>
      </c>
      <c r="I145" s="7" t="s">
        <v>263</v>
      </c>
    </row>
    <row r="146" spans="1:9" x14ac:dyDescent="0.35">
      <c r="A146" s="11" t="str">
        <f t="shared" si="4"/>
        <v>Rostbeef - kg</v>
      </c>
      <c r="B146" s="11" t="s">
        <v>76</v>
      </c>
      <c r="C146" s="7" t="s">
        <v>550</v>
      </c>
      <c r="D146" s="7">
        <v>9.25</v>
      </c>
      <c r="E146" s="4">
        <v>0.46500000000000002</v>
      </c>
      <c r="F146" s="9">
        <f t="shared" si="5"/>
        <v>19.892473118279568</v>
      </c>
      <c r="G146" s="7" t="s">
        <v>551</v>
      </c>
      <c r="H146" s="7">
        <v>20180223</v>
      </c>
      <c r="I146" s="7" t="s">
        <v>263</v>
      </c>
    </row>
    <row r="147" spans="1:9" x14ac:dyDescent="0.35">
      <c r="A147" s="11" t="str">
        <f t="shared" si="4"/>
        <v>Safran moulu (Cook) - kg</v>
      </c>
      <c r="B147" s="7" t="s">
        <v>246</v>
      </c>
      <c r="C147" s="3" t="s">
        <v>440</v>
      </c>
      <c r="D147" s="3">
        <v>14.25</v>
      </c>
      <c r="E147" s="4">
        <v>1E-3</v>
      </c>
      <c r="F147" s="9">
        <f t="shared" si="5"/>
        <v>14250</v>
      </c>
      <c r="G147" s="12" t="s">
        <v>45</v>
      </c>
      <c r="H147" s="11" t="s">
        <v>45</v>
      </c>
      <c r="I147" s="7" t="s">
        <v>263</v>
      </c>
    </row>
    <row r="148" spans="1:9" x14ac:dyDescent="0.35">
      <c r="A148" s="11" t="str">
        <f t="shared" si="4"/>
        <v>Salade - Pi</v>
      </c>
      <c r="B148" s="11" t="s">
        <v>82</v>
      </c>
      <c r="C148" s="12" t="s">
        <v>568</v>
      </c>
      <c r="D148" s="12">
        <v>1.4</v>
      </c>
      <c r="E148" s="106">
        <v>1</v>
      </c>
      <c r="F148" s="9">
        <f t="shared" si="5"/>
        <v>1.4</v>
      </c>
      <c r="G148" s="12" t="s">
        <v>26</v>
      </c>
      <c r="H148" s="7">
        <v>20180302</v>
      </c>
      <c r="I148" s="11" t="s">
        <v>101</v>
      </c>
    </row>
    <row r="149" spans="1:9" x14ac:dyDescent="0.35">
      <c r="A149" s="11" t="str">
        <f t="shared" si="4"/>
        <v>Sauce Soja (Shoyu Classique 145ml) - L</v>
      </c>
      <c r="B149" s="7" t="s">
        <v>11</v>
      </c>
      <c r="C149" s="7" t="s">
        <v>10</v>
      </c>
      <c r="D149" s="7">
        <v>2.95</v>
      </c>
      <c r="E149" s="4">
        <v>0.14499999999999999</v>
      </c>
      <c r="F149" s="9">
        <f t="shared" si="5"/>
        <v>20.3448275862069</v>
      </c>
      <c r="G149" s="3" t="s">
        <v>2</v>
      </c>
      <c r="H149" s="7">
        <v>20171227</v>
      </c>
      <c r="I149" s="7" t="s">
        <v>100</v>
      </c>
    </row>
    <row r="150" spans="1:9" x14ac:dyDescent="0.35">
      <c r="A150" s="11" t="str">
        <f t="shared" si="4"/>
        <v>Saucisses pour Rougail (type Montbéliard) - kg</v>
      </c>
      <c r="B150" s="11" t="s">
        <v>76</v>
      </c>
      <c r="C150" s="7" t="s">
        <v>552</v>
      </c>
      <c r="D150" s="7">
        <v>8.3699999999999992</v>
      </c>
      <c r="E150" s="4">
        <v>0.46500000000000002</v>
      </c>
      <c r="F150" s="9">
        <f t="shared" si="5"/>
        <v>17.999999999999996</v>
      </c>
      <c r="G150" s="7" t="s">
        <v>551</v>
      </c>
      <c r="H150" s="7">
        <v>20180223</v>
      </c>
      <c r="I150" s="7" t="s">
        <v>263</v>
      </c>
    </row>
    <row r="151" spans="1:9" x14ac:dyDescent="0.35">
      <c r="A151" s="11" t="str">
        <f t="shared" si="4"/>
        <v>Saucisson Sec Pur Porc (200g) - kg</v>
      </c>
      <c r="B151" s="11" t="s">
        <v>252</v>
      </c>
      <c r="C151" s="3" t="s">
        <v>576</v>
      </c>
      <c r="D151" s="3">
        <v>5.5</v>
      </c>
      <c r="E151" s="4">
        <v>0.2</v>
      </c>
      <c r="F151" s="5">
        <f t="shared" si="5"/>
        <v>27.5</v>
      </c>
      <c r="G151" s="7" t="s">
        <v>26</v>
      </c>
      <c r="H151" s="7">
        <v>20180301</v>
      </c>
      <c r="I151" s="7" t="s">
        <v>263</v>
      </c>
    </row>
    <row r="152" spans="1:9" x14ac:dyDescent="0.35">
      <c r="A152" s="11" t="str">
        <f t="shared" si="4"/>
        <v>Saumon bio - kg</v>
      </c>
      <c r="B152" s="7" t="s">
        <v>502</v>
      </c>
      <c r="C152" s="7" t="s">
        <v>264</v>
      </c>
      <c r="D152" s="7">
        <v>7.28</v>
      </c>
      <c r="E152" s="4">
        <v>0.2</v>
      </c>
      <c r="F152" s="9">
        <f t="shared" si="5"/>
        <v>36.4</v>
      </c>
      <c r="G152" s="7" t="s">
        <v>257</v>
      </c>
      <c r="H152" s="7">
        <v>20180108</v>
      </c>
      <c r="I152" s="7" t="s">
        <v>263</v>
      </c>
    </row>
    <row r="153" spans="1:9" x14ac:dyDescent="0.35">
      <c r="A153" s="11" t="str">
        <f t="shared" si="4"/>
        <v>Sel de Gérande (0,5 kg) - Kg</v>
      </c>
      <c r="B153" s="7" t="s">
        <v>246</v>
      </c>
      <c r="C153" s="3" t="s">
        <v>65</v>
      </c>
      <c r="D153" s="3">
        <v>2.4900000000000002</v>
      </c>
      <c r="E153" s="4">
        <v>0.5</v>
      </c>
      <c r="F153" s="9">
        <f t="shared" si="5"/>
        <v>4.9800000000000004</v>
      </c>
      <c r="G153" s="3" t="s">
        <v>2</v>
      </c>
      <c r="H153" s="7" t="s">
        <v>64</v>
      </c>
      <c r="I153" s="7" t="s">
        <v>99</v>
      </c>
    </row>
    <row r="154" spans="1:9" x14ac:dyDescent="0.35">
      <c r="A154" s="11" t="str">
        <f t="shared" si="4"/>
        <v>Semoule couscous - kg</v>
      </c>
      <c r="B154" s="7" t="s">
        <v>432</v>
      </c>
      <c r="C154" s="7" t="s">
        <v>433</v>
      </c>
      <c r="D154" s="7">
        <v>3.88</v>
      </c>
      <c r="E154" s="4">
        <v>0.5</v>
      </c>
      <c r="F154" s="9">
        <f t="shared" si="5"/>
        <v>7.76</v>
      </c>
      <c r="G154" s="7" t="s">
        <v>64</v>
      </c>
      <c r="H154" s="7" t="s">
        <v>64</v>
      </c>
      <c r="I154" s="7" t="s">
        <v>263</v>
      </c>
    </row>
    <row r="155" spans="1:9" x14ac:dyDescent="0.35">
      <c r="A155" s="11" t="str">
        <f t="shared" si="4"/>
        <v>Sesame Blond complet (250g) - Kg</v>
      </c>
      <c r="B155" s="7" t="s">
        <v>432</v>
      </c>
      <c r="C155" s="7" t="s">
        <v>541</v>
      </c>
      <c r="D155" s="7">
        <v>2</v>
      </c>
      <c r="E155" s="4">
        <v>0.25</v>
      </c>
      <c r="F155" s="9">
        <f t="shared" si="5"/>
        <v>8</v>
      </c>
      <c r="G155" s="12" t="s">
        <v>26</v>
      </c>
      <c r="H155" s="7">
        <v>20180223</v>
      </c>
      <c r="I155" s="7" t="s">
        <v>99</v>
      </c>
    </row>
    <row r="156" spans="1:9" x14ac:dyDescent="0.35">
      <c r="A156" s="11" t="str">
        <f t="shared" si="4"/>
        <v>Spaghetti (Monoprix bio, 500g) - kg</v>
      </c>
      <c r="B156" s="7" t="s">
        <v>310</v>
      </c>
      <c r="C156" s="7" t="s">
        <v>325</v>
      </c>
      <c r="D156" s="7">
        <v>1.42</v>
      </c>
      <c r="E156" s="4">
        <v>0.5</v>
      </c>
      <c r="F156" s="9">
        <f t="shared" si="5"/>
        <v>2.84</v>
      </c>
      <c r="G156" s="7" t="s">
        <v>45</v>
      </c>
      <c r="H156" s="7" t="s">
        <v>45</v>
      </c>
      <c r="I156" s="7" t="s">
        <v>263</v>
      </c>
    </row>
    <row r="157" spans="1:9" x14ac:dyDescent="0.35">
      <c r="A157" s="11" t="str">
        <f t="shared" si="4"/>
        <v>St Hubert bio - Kg</v>
      </c>
      <c r="B157" s="7" t="s">
        <v>293</v>
      </c>
      <c r="C157" s="7" t="s">
        <v>260</v>
      </c>
      <c r="D157" s="7">
        <v>2.25</v>
      </c>
      <c r="E157" s="4">
        <v>0.245</v>
      </c>
      <c r="F157" s="9">
        <f t="shared" si="5"/>
        <v>9.183673469387756</v>
      </c>
      <c r="G157" s="7" t="s">
        <v>257</v>
      </c>
      <c r="H157" s="7">
        <v>20180114</v>
      </c>
      <c r="I157" s="7" t="s">
        <v>99</v>
      </c>
    </row>
    <row r="158" spans="1:9" x14ac:dyDescent="0.35">
      <c r="A158" s="11" t="str">
        <f t="shared" si="4"/>
        <v>St Hubert bio - kg</v>
      </c>
      <c r="B158" s="7" t="s">
        <v>293</v>
      </c>
      <c r="C158" s="7" t="s">
        <v>260</v>
      </c>
      <c r="D158" s="7">
        <v>2.19</v>
      </c>
      <c r="E158" s="4">
        <v>0.245</v>
      </c>
      <c r="F158" s="9">
        <f t="shared" si="5"/>
        <v>8.9387755102040813</v>
      </c>
      <c r="G158" s="7" t="s">
        <v>44</v>
      </c>
      <c r="H158" s="7">
        <v>20180117</v>
      </c>
      <c r="I158" s="7" t="s">
        <v>263</v>
      </c>
    </row>
    <row r="159" spans="1:9" x14ac:dyDescent="0.35">
      <c r="A159" s="11" t="str">
        <f t="shared" si="4"/>
        <v>Steaks hachés (pur bœuf, 100% muscle) - kg</v>
      </c>
      <c r="B159" s="7" t="s">
        <v>77</v>
      </c>
      <c r="C159" s="7" t="s">
        <v>290</v>
      </c>
      <c r="D159" s="7">
        <v>4.0999999999999996</v>
      </c>
      <c r="E159" s="4">
        <v>0.25</v>
      </c>
      <c r="F159" s="9">
        <f t="shared" si="5"/>
        <v>16.399999999999999</v>
      </c>
      <c r="G159" s="7" t="s">
        <v>257</v>
      </c>
      <c r="H159" s="7" t="s">
        <v>289</v>
      </c>
      <c r="I159" s="7" t="s">
        <v>263</v>
      </c>
    </row>
    <row r="160" spans="1:9" x14ac:dyDescent="0.35">
      <c r="A160" s="11" t="str">
        <f t="shared" si="4"/>
        <v>Sticks et bretzels bio - kg</v>
      </c>
      <c r="B160" s="7" t="s">
        <v>306</v>
      </c>
      <c r="C160" s="7" t="s">
        <v>308</v>
      </c>
      <c r="D160" s="7">
        <v>2.09</v>
      </c>
      <c r="E160" s="4">
        <v>0.3</v>
      </c>
      <c r="F160" s="9">
        <f t="shared" si="5"/>
        <v>6.9666666666666668</v>
      </c>
      <c r="G160" s="7" t="s">
        <v>44</v>
      </c>
      <c r="H160" s="7">
        <v>20180117</v>
      </c>
      <c r="I160" s="7" t="s">
        <v>263</v>
      </c>
    </row>
    <row r="161" spans="1:9" x14ac:dyDescent="0.35">
      <c r="A161" s="11" t="str">
        <f t="shared" si="4"/>
        <v>Sucre de canne blond (750g) - Kg</v>
      </c>
      <c r="B161" s="7" t="s">
        <v>20</v>
      </c>
      <c r="C161" s="3" t="s">
        <v>19</v>
      </c>
      <c r="D161" s="3">
        <v>2.99</v>
      </c>
      <c r="E161" s="4">
        <v>0.75</v>
      </c>
      <c r="F161" s="5">
        <f t="shared" si="5"/>
        <v>3.9866666666666668</v>
      </c>
      <c r="G161" s="3" t="s">
        <v>2</v>
      </c>
      <c r="H161" s="7">
        <v>20171228</v>
      </c>
      <c r="I161" s="7" t="s">
        <v>99</v>
      </c>
    </row>
    <row r="162" spans="1:9" x14ac:dyDescent="0.35">
      <c r="A162" s="11" t="str">
        <f t="shared" si="4"/>
        <v>Sucre glace bio - Jean Hervé - Kg</v>
      </c>
      <c r="B162" s="11" t="s">
        <v>20</v>
      </c>
      <c r="C162" s="12" t="s">
        <v>164</v>
      </c>
      <c r="D162" s="12">
        <v>2.7</v>
      </c>
      <c r="E162" s="106">
        <v>0.26</v>
      </c>
      <c r="F162" s="5">
        <f t="shared" si="5"/>
        <v>10.384615384615385</v>
      </c>
      <c r="G162" s="12" t="s">
        <v>45</v>
      </c>
      <c r="H162" s="7" t="s">
        <v>64</v>
      </c>
      <c r="I162" s="11" t="s">
        <v>99</v>
      </c>
    </row>
    <row r="163" spans="1:9" x14ac:dyDescent="0.35">
      <c r="A163" s="11" t="str">
        <f t="shared" si="4"/>
        <v>Sucre vanillé - Alter Eco (Madagascar coop KOMEM) (bio) - Kg</v>
      </c>
      <c r="B163" s="11" t="s">
        <v>20</v>
      </c>
      <c r="C163" s="12" t="s">
        <v>469</v>
      </c>
      <c r="D163" s="12">
        <v>4.51</v>
      </c>
      <c r="E163" s="106">
        <f>0.0075*6</f>
        <v>4.4999999999999998E-2</v>
      </c>
      <c r="F163" s="5">
        <f t="shared" si="5"/>
        <v>100.22222222222221</v>
      </c>
      <c r="G163" s="12" t="s">
        <v>45</v>
      </c>
      <c r="H163" s="7" t="s">
        <v>64</v>
      </c>
      <c r="I163" s="11" t="s">
        <v>99</v>
      </c>
    </row>
    <row r="164" spans="1:9" x14ac:dyDescent="0.35">
      <c r="A164" s="11" t="str">
        <f t="shared" si="4"/>
        <v>The noir Breakfast Ceylan 20 - kg</v>
      </c>
      <c r="B164" s="7" t="s">
        <v>570</v>
      </c>
      <c r="C164" s="12" t="s">
        <v>571</v>
      </c>
      <c r="D164" s="12">
        <v>2.66</v>
      </c>
      <c r="E164" s="4">
        <v>3.5999999999999997E-2</v>
      </c>
      <c r="F164" s="9">
        <f t="shared" si="5"/>
        <v>73.8888888888889</v>
      </c>
      <c r="G164" s="12" t="s">
        <v>26</v>
      </c>
      <c r="H164" s="7">
        <v>20180301</v>
      </c>
      <c r="I164" s="7" t="s">
        <v>263</v>
      </c>
    </row>
    <row r="165" spans="1:9" x14ac:dyDescent="0.35">
      <c r="A165" s="11" t="str">
        <f t="shared" si="4"/>
        <v>Thym bio (50g - Herbier de France) - kg</v>
      </c>
      <c r="B165" s="7" t="s">
        <v>246</v>
      </c>
      <c r="C165" s="11" t="s">
        <v>610</v>
      </c>
      <c r="D165" s="7">
        <v>3.8</v>
      </c>
      <c r="E165" s="4">
        <v>0.05</v>
      </c>
      <c r="F165" s="9">
        <f t="shared" si="5"/>
        <v>75.999999999999986</v>
      </c>
      <c r="G165" s="7" t="s">
        <v>45</v>
      </c>
      <c r="H165" s="7" t="s">
        <v>64</v>
      </c>
      <c r="I165" s="7" t="s">
        <v>263</v>
      </c>
    </row>
    <row r="166" spans="1:9" x14ac:dyDescent="0.35">
      <c r="A166" s="11" t="str">
        <f t="shared" si="4"/>
        <v>Tomates concassées (400g) - kg</v>
      </c>
      <c r="B166" s="11" t="s">
        <v>82</v>
      </c>
      <c r="C166" s="7" t="s">
        <v>545</v>
      </c>
      <c r="D166" s="7">
        <v>1.24</v>
      </c>
      <c r="E166" s="4">
        <v>0.4</v>
      </c>
      <c r="F166" s="9">
        <f t="shared" si="5"/>
        <v>3.0999999999999996</v>
      </c>
      <c r="G166" s="12" t="s">
        <v>26</v>
      </c>
      <c r="H166" s="7">
        <v>20180223</v>
      </c>
      <c r="I166" s="7" t="s">
        <v>263</v>
      </c>
    </row>
    <row r="167" spans="1:9" x14ac:dyDescent="0.35">
      <c r="A167" s="11" t="str">
        <f t="shared" si="4"/>
        <v>Tomates ronde bio - Kg</v>
      </c>
      <c r="B167" s="11" t="s">
        <v>82</v>
      </c>
      <c r="C167" s="7" t="s">
        <v>244</v>
      </c>
      <c r="D167" s="7">
        <v>3</v>
      </c>
      <c r="E167" s="4">
        <v>1</v>
      </c>
      <c r="F167" s="9">
        <f t="shared" si="5"/>
        <v>3</v>
      </c>
      <c r="G167" s="7" t="s">
        <v>44</v>
      </c>
      <c r="H167" s="7">
        <v>20180109</v>
      </c>
      <c r="I167" s="7" t="s">
        <v>99</v>
      </c>
    </row>
    <row r="168" spans="1:9" x14ac:dyDescent="0.35">
      <c r="A168" s="11" t="str">
        <f t="shared" si="4"/>
        <v>Tortelloni Epinard Pignons - Kg</v>
      </c>
      <c r="B168" s="7" t="s">
        <v>18</v>
      </c>
      <c r="C168" s="8" t="s">
        <v>36</v>
      </c>
      <c r="D168" s="3">
        <v>3.88</v>
      </c>
      <c r="E168" s="4">
        <v>0.25</v>
      </c>
      <c r="F168" s="5">
        <f t="shared" si="5"/>
        <v>15.52</v>
      </c>
      <c r="G168" s="12" t="s">
        <v>26</v>
      </c>
      <c r="H168" s="7">
        <v>20171228</v>
      </c>
      <c r="I168" s="7" t="s">
        <v>99</v>
      </c>
    </row>
    <row r="169" spans="1:9" x14ac:dyDescent="0.35">
      <c r="A169" s="11" t="str">
        <f t="shared" si="4"/>
        <v>Truite filet - Kg</v>
      </c>
      <c r="B169" s="7" t="s">
        <v>502</v>
      </c>
      <c r="C169" s="7" t="s">
        <v>581</v>
      </c>
      <c r="D169" s="7">
        <v>5.58</v>
      </c>
      <c r="E169" s="4">
        <v>0.33</v>
      </c>
      <c r="F169" s="9">
        <f t="shared" si="5"/>
        <v>16.90909090909091</v>
      </c>
      <c r="G169" s="7" t="s">
        <v>582</v>
      </c>
      <c r="H169" s="7">
        <v>20180302</v>
      </c>
      <c r="I169" s="7" t="s">
        <v>99</v>
      </c>
    </row>
    <row r="170" spans="1:9" x14ac:dyDescent="0.35">
      <c r="A170" s="11" t="str">
        <f t="shared" si="4"/>
        <v>Veau (blanquette) - Kg</v>
      </c>
      <c r="B170" s="11" t="s">
        <v>77</v>
      </c>
      <c r="C170" s="3" t="s">
        <v>55</v>
      </c>
      <c r="D170" s="3">
        <v>11</v>
      </c>
      <c r="E170" s="4">
        <v>0.61399999999999999</v>
      </c>
      <c r="F170" s="9">
        <f t="shared" si="5"/>
        <v>17.915309446254071</v>
      </c>
      <c r="G170" s="12" t="s">
        <v>26</v>
      </c>
      <c r="H170" s="11">
        <v>20171230</v>
      </c>
      <c r="I170" s="7" t="s">
        <v>99</v>
      </c>
    </row>
    <row r="171" spans="1:9" x14ac:dyDescent="0.35">
      <c r="A171" s="11" t="str">
        <f t="shared" si="4"/>
        <v>Veau (escaloppe) - kg</v>
      </c>
      <c r="B171" s="11" t="s">
        <v>77</v>
      </c>
      <c r="C171" s="8" t="s">
        <v>524</v>
      </c>
      <c r="D171" s="3">
        <v>4.3099999999999996</v>
      </c>
      <c r="E171" s="4">
        <v>0.14399999999999999</v>
      </c>
      <c r="F171" s="5">
        <f t="shared" si="5"/>
        <v>29.930555555555554</v>
      </c>
      <c r="G171" s="12" t="s">
        <v>26</v>
      </c>
      <c r="H171" s="7">
        <v>20180210</v>
      </c>
      <c r="I171" s="7" t="s">
        <v>263</v>
      </c>
    </row>
    <row r="172" spans="1:9" x14ac:dyDescent="0.35">
      <c r="A172" s="11" t="str">
        <f t="shared" si="4"/>
        <v>Veau (pavé à griller) - kg</v>
      </c>
      <c r="B172" s="11" t="s">
        <v>77</v>
      </c>
      <c r="C172" s="8" t="s">
        <v>525</v>
      </c>
      <c r="D172" s="3">
        <v>5.56</v>
      </c>
      <c r="E172" s="4">
        <v>0.156</v>
      </c>
      <c r="F172" s="5">
        <f t="shared" si="5"/>
        <v>35.641025641025635</v>
      </c>
      <c r="G172" s="12" t="s">
        <v>26</v>
      </c>
      <c r="H172" s="7">
        <v>20180210</v>
      </c>
      <c r="I172" s="7" t="s">
        <v>263</v>
      </c>
    </row>
    <row r="173" spans="1:9" x14ac:dyDescent="0.35">
      <c r="A173" s="11" t="str">
        <f t="shared" si="4"/>
        <v>Vin blanc Soleiller (25cl) - L</v>
      </c>
      <c r="B173" s="7" t="s">
        <v>572</v>
      </c>
      <c r="C173" s="3" t="s">
        <v>5</v>
      </c>
      <c r="D173" s="3">
        <v>2.15</v>
      </c>
      <c r="E173" s="4">
        <v>0.25</v>
      </c>
      <c r="F173" s="9">
        <f t="shared" si="5"/>
        <v>8.6</v>
      </c>
      <c r="G173" s="3" t="s">
        <v>2</v>
      </c>
      <c r="H173" s="7">
        <v>20171227</v>
      </c>
      <c r="I173" s="7" t="s">
        <v>100</v>
      </c>
    </row>
    <row r="174" spans="1:9" x14ac:dyDescent="0.35">
      <c r="A174" s="11" t="str">
        <f t="shared" si="4"/>
        <v>Vin blanc Sylvaner (75cl) - L</v>
      </c>
      <c r="B174" s="7" t="s">
        <v>572</v>
      </c>
      <c r="C174" s="3" t="s">
        <v>517</v>
      </c>
      <c r="D174" s="3">
        <v>5.65</v>
      </c>
      <c r="E174" s="4">
        <v>0.75</v>
      </c>
      <c r="F174" s="9">
        <f t="shared" si="5"/>
        <v>7.5333333333333341</v>
      </c>
      <c r="G174" s="12" t="s">
        <v>518</v>
      </c>
      <c r="H174" s="11">
        <v>20180204</v>
      </c>
      <c r="I174" s="7" t="s">
        <v>100</v>
      </c>
    </row>
    <row r="175" spans="1:9" x14ac:dyDescent="0.35">
      <c r="A175" s="11" t="str">
        <f t="shared" si="4"/>
        <v>Vin rouge Farigoulette - L</v>
      </c>
      <c r="B175" s="7" t="s">
        <v>572</v>
      </c>
      <c r="C175" s="8" t="s">
        <v>573</v>
      </c>
      <c r="D175" s="3">
        <v>7.99</v>
      </c>
      <c r="E175" s="4">
        <v>0.75</v>
      </c>
      <c r="F175" s="9">
        <f t="shared" si="5"/>
        <v>10.653333333333334</v>
      </c>
      <c r="G175" s="12" t="s">
        <v>26</v>
      </c>
      <c r="H175" s="7">
        <v>20180301</v>
      </c>
      <c r="I175" s="7" t="s">
        <v>100</v>
      </c>
    </row>
    <row r="176" spans="1:9" x14ac:dyDescent="0.35">
      <c r="A176" s="11" t="str">
        <f t="shared" si="4"/>
        <v>Vin rouge Vaucluse Show Vin - L</v>
      </c>
      <c r="B176" s="7" t="s">
        <v>572</v>
      </c>
      <c r="C176" s="8" t="s">
        <v>574</v>
      </c>
      <c r="D176" s="3">
        <v>6.92</v>
      </c>
      <c r="E176" s="4">
        <v>0.75</v>
      </c>
      <c r="F176" s="9">
        <f t="shared" si="5"/>
        <v>9.2266666666666666</v>
      </c>
      <c r="G176" s="12" t="s">
        <v>26</v>
      </c>
      <c r="H176" s="7">
        <v>20180301</v>
      </c>
      <c r="I176" s="7" t="s">
        <v>100</v>
      </c>
    </row>
    <row r="177" spans="1:9" x14ac:dyDescent="0.35">
      <c r="A177" s="11" t="str">
        <f t="shared" si="4"/>
        <v>Vinaigre de Vin blanc - L</v>
      </c>
      <c r="B177" s="7" t="s">
        <v>246</v>
      </c>
      <c r="C177" s="7" t="s">
        <v>580</v>
      </c>
      <c r="D177" s="7">
        <v>3.28</v>
      </c>
      <c r="E177" s="4">
        <v>0.75</v>
      </c>
      <c r="F177" s="9">
        <f t="shared" si="5"/>
        <v>4.3733333333333331</v>
      </c>
      <c r="G177" s="12" t="s">
        <v>26</v>
      </c>
      <c r="H177" s="7">
        <v>20180301</v>
      </c>
      <c r="I177" s="7" t="s">
        <v>100</v>
      </c>
    </row>
    <row r="178" spans="1:9" x14ac:dyDescent="0.35">
      <c r="A178" s="11" t="str">
        <f t="shared" si="4"/>
        <v>Yahourt Bifidus Citron (4x125g) - kg</v>
      </c>
      <c r="B178" s="7" t="s">
        <v>293</v>
      </c>
      <c r="C178" s="3" t="s">
        <v>569</v>
      </c>
      <c r="D178" s="3">
        <v>2.2000000000000002</v>
      </c>
      <c r="E178" s="4">
        <f>4*0.125</f>
        <v>0.5</v>
      </c>
      <c r="F178" s="9">
        <f t="shared" si="5"/>
        <v>4.4000000000000004</v>
      </c>
      <c r="G178" s="12" t="s">
        <v>26</v>
      </c>
      <c r="H178" s="11">
        <v>20180301</v>
      </c>
      <c r="I178" s="7" t="s">
        <v>263</v>
      </c>
    </row>
    <row r="179" spans="1:9" x14ac:dyDescent="0.35">
      <c r="A179" s="11" t="str">
        <f t="shared" si="4"/>
        <v>Yahourt Les 2 vaches citron bio - kg</v>
      </c>
      <c r="B179" s="7" t="s">
        <v>293</v>
      </c>
      <c r="C179" s="7" t="s">
        <v>305</v>
      </c>
      <c r="D179" s="7">
        <v>2.09</v>
      </c>
      <c r="E179" s="4">
        <f>0.115*4</f>
        <v>0.46</v>
      </c>
      <c r="F179" s="9">
        <f t="shared" si="5"/>
        <v>4.5434782608695645</v>
      </c>
      <c r="G179" s="7" t="s">
        <v>44</v>
      </c>
      <c r="H179" s="7">
        <v>20180117</v>
      </c>
      <c r="I179" s="7" t="s">
        <v>263</v>
      </c>
    </row>
    <row r="180" spans="1:9" x14ac:dyDescent="0.35">
      <c r="A180" s="11" t="str">
        <f t="shared" si="4"/>
        <v>Yahourt Les 2 vaches framboise - kg</v>
      </c>
      <c r="B180" s="7" t="s">
        <v>293</v>
      </c>
      <c r="C180" s="7" t="s">
        <v>262</v>
      </c>
      <c r="D180" s="7">
        <v>2.04</v>
      </c>
      <c r="E180" s="4">
        <f>0.115*4</f>
        <v>0.46</v>
      </c>
      <c r="F180" s="9">
        <f t="shared" si="5"/>
        <v>4.4347826086956523</v>
      </c>
      <c r="G180" s="7" t="s">
        <v>257</v>
      </c>
      <c r="H180" s="7">
        <v>20180114</v>
      </c>
      <c r="I180" s="7" t="s">
        <v>263</v>
      </c>
    </row>
    <row r="181" spans="1:9" x14ac:dyDescent="0.35">
      <c r="A181" s="11" t="str">
        <f t="shared" si="4"/>
        <v>Yahourt Les 2 vaches myrtille bio - kg</v>
      </c>
      <c r="B181" s="7" t="s">
        <v>293</v>
      </c>
      <c r="C181" s="7" t="s">
        <v>304</v>
      </c>
      <c r="D181" s="7">
        <v>2.09</v>
      </c>
      <c r="E181" s="4">
        <f>0.115*4</f>
        <v>0.46</v>
      </c>
      <c r="F181" s="9">
        <f t="shared" si="5"/>
        <v>4.5434782608695645</v>
      </c>
      <c r="G181" s="7" t="s">
        <v>44</v>
      </c>
      <c r="H181" s="7">
        <v>20180117</v>
      </c>
      <c r="I181" s="7" t="s">
        <v>263</v>
      </c>
    </row>
    <row r="182" spans="1:9" x14ac:dyDescent="0.35">
      <c r="A182" s="11" t="str">
        <f t="shared" si="4"/>
        <v>z</v>
      </c>
      <c r="B182" s="7"/>
      <c r="C182" s="7"/>
      <c r="D182" s="7"/>
      <c r="E182" s="4"/>
      <c r="F182" s="9" t="e">
        <f t="shared" si="5"/>
        <v>#DIV/0!</v>
      </c>
      <c r="G182" s="7"/>
      <c r="H182" s="7"/>
      <c r="I182" s="7"/>
    </row>
    <row r="183" spans="1:9" x14ac:dyDescent="0.35">
      <c r="A183" s="11" t="str">
        <f t="shared" si="4"/>
        <v>z</v>
      </c>
      <c r="B183" s="7"/>
      <c r="C183" s="7"/>
      <c r="D183" s="7"/>
      <c r="E183" s="4"/>
      <c r="F183" s="9" t="e">
        <f t="shared" si="5"/>
        <v>#DIV/0!</v>
      </c>
      <c r="G183" s="7"/>
      <c r="H183" s="7"/>
      <c r="I183" s="7"/>
    </row>
    <row r="184" spans="1:9" x14ac:dyDescent="0.35">
      <c r="A184" s="11" t="str">
        <f t="shared" si="4"/>
        <v>z</v>
      </c>
      <c r="B184" s="7"/>
      <c r="C184" s="7"/>
      <c r="D184" s="7"/>
      <c r="E184" s="4"/>
      <c r="F184" s="9" t="e">
        <f t="shared" si="5"/>
        <v>#DIV/0!</v>
      </c>
      <c r="G184" s="7"/>
      <c r="H184" s="7"/>
      <c r="I184" s="7"/>
    </row>
    <row r="185" spans="1:9" x14ac:dyDescent="0.35">
      <c r="A185" s="11" t="str">
        <f t="shared" si="4"/>
        <v>z</v>
      </c>
      <c r="B185" s="7"/>
      <c r="C185" s="7"/>
      <c r="D185" s="7"/>
      <c r="E185" s="4"/>
      <c r="F185" s="9" t="e">
        <f t="shared" si="5"/>
        <v>#DIV/0!</v>
      </c>
      <c r="G185" s="7"/>
      <c r="H185" s="7"/>
      <c r="I185" s="7"/>
    </row>
    <row r="186" spans="1:9" x14ac:dyDescent="0.35">
      <c r="A186" s="11" t="str">
        <f t="shared" si="4"/>
        <v>z</v>
      </c>
      <c r="B186" s="7"/>
      <c r="C186" s="7"/>
      <c r="D186" s="7"/>
      <c r="E186" s="4"/>
      <c r="F186" s="9" t="e">
        <f t="shared" si="5"/>
        <v>#DIV/0!</v>
      </c>
      <c r="G186" s="7"/>
      <c r="H186" s="7"/>
      <c r="I186" s="7"/>
    </row>
    <row r="187" spans="1:9" x14ac:dyDescent="0.35">
      <c r="A187" s="11" t="str">
        <f t="shared" si="4"/>
        <v>z</v>
      </c>
      <c r="B187" s="7"/>
      <c r="C187" s="7"/>
      <c r="D187" s="7"/>
      <c r="E187" s="4"/>
      <c r="F187" s="9" t="e">
        <f t="shared" si="5"/>
        <v>#DIV/0!</v>
      </c>
      <c r="G187" s="7"/>
      <c r="H187" s="7"/>
      <c r="I187" s="7"/>
    </row>
    <row r="188" spans="1:9" x14ac:dyDescent="0.35">
      <c r="A188" s="11" t="str">
        <f t="shared" si="4"/>
        <v>z</v>
      </c>
      <c r="B188" s="7"/>
      <c r="C188" s="7"/>
      <c r="D188" s="7"/>
      <c r="E188" s="4"/>
      <c r="F188" s="9" t="e">
        <f t="shared" si="5"/>
        <v>#DIV/0!</v>
      </c>
      <c r="G188" s="7"/>
      <c r="H188" s="7"/>
      <c r="I188" s="7"/>
    </row>
    <row r="189" spans="1:9" x14ac:dyDescent="0.35">
      <c r="A189" s="11" t="str">
        <f t="shared" si="4"/>
        <v>z</v>
      </c>
      <c r="B189" s="7"/>
      <c r="C189" s="7"/>
      <c r="D189" s="7"/>
      <c r="E189" s="4"/>
      <c r="F189" s="9" t="e">
        <f t="shared" si="5"/>
        <v>#DIV/0!</v>
      </c>
      <c r="G189" s="7"/>
      <c r="H189" s="7"/>
      <c r="I189" s="7"/>
    </row>
    <row r="190" spans="1:9" x14ac:dyDescent="0.35">
      <c r="A190" s="11" t="str">
        <f t="shared" si="4"/>
        <v>z</v>
      </c>
      <c r="B190" s="7"/>
      <c r="C190" s="7"/>
      <c r="D190" s="7"/>
      <c r="E190" s="4"/>
      <c r="F190" s="9" t="e">
        <f t="shared" si="5"/>
        <v>#DIV/0!</v>
      </c>
      <c r="G190" s="7"/>
      <c r="H190" s="7"/>
      <c r="I190" s="7"/>
    </row>
    <row r="191" spans="1:9" x14ac:dyDescent="0.35">
      <c r="A191" s="11" t="str">
        <f t="shared" si="4"/>
        <v>z</v>
      </c>
      <c r="B191" s="7"/>
      <c r="C191" s="7"/>
      <c r="D191" s="7"/>
      <c r="E191" s="4"/>
      <c r="F191" s="9" t="e">
        <f t="shared" si="5"/>
        <v>#DIV/0!</v>
      </c>
      <c r="G191" s="7"/>
      <c r="H191" s="7"/>
      <c r="I191" s="7"/>
    </row>
    <row r="192" spans="1:9" x14ac:dyDescent="0.35">
      <c r="A192" s="11" t="str">
        <f t="shared" si="4"/>
        <v>z</v>
      </c>
      <c r="B192" s="7"/>
      <c r="C192" s="7"/>
      <c r="D192" s="7"/>
      <c r="E192" s="4"/>
      <c r="F192" s="9" t="e">
        <f t="shared" si="5"/>
        <v>#DIV/0!</v>
      </c>
      <c r="G192" s="7"/>
      <c r="H192" s="7"/>
      <c r="I192" s="7"/>
    </row>
    <row r="193" spans="1:9" x14ac:dyDescent="0.35">
      <c r="A193" s="11" t="str">
        <f t="shared" si="4"/>
        <v>z</v>
      </c>
      <c r="B193" s="7"/>
      <c r="C193" s="7"/>
      <c r="D193" s="7"/>
      <c r="E193" s="4"/>
      <c r="F193" s="9" t="e">
        <f t="shared" si="5"/>
        <v>#DIV/0!</v>
      </c>
      <c r="G193" s="7"/>
      <c r="H193" s="7"/>
      <c r="I193" s="7"/>
    </row>
    <row r="194" spans="1:9" x14ac:dyDescent="0.35">
      <c r="A194" s="11" t="str">
        <f t="shared" ref="A194:A257" si="6">IF(OR(C194="",I194=""),"z",C194&amp;" - "&amp;I194)</f>
        <v>z</v>
      </c>
      <c r="B194" s="7"/>
      <c r="C194" s="7"/>
      <c r="D194" s="7"/>
      <c r="E194" s="4"/>
      <c r="F194" s="9" t="e">
        <f t="shared" ref="F194:F257" si="7">D194/E194</f>
        <v>#DIV/0!</v>
      </c>
      <c r="G194" s="7"/>
      <c r="H194" s="7"/>
      <c r="I194" s="7"/>
    </row>
    <row r="195" spans="1:9" x14ac:dyDescent="0.35">
      <c r="A195" s="11" t="str">
        <f t="shared" si="6"/>
        <v>z</v>
      </c>
      <c r="B195" s="7"/>
      <c r="C195" s="7"/>
      <c r="D195" s="7"/>
      <c r="E195" s="4"/>
      <c r="F195" s="9" t="e">
        <f t="shared" si="7"/>
        <v>#DIV/0!</v>
      </c>
      <c r="G195" s="7"/>
      <c r="H195" s="7"/>
      <c r="I195" s="7"/>
    </row>
    <row r="196" spans="1:9" x14ac:dyDescent="0.35">
      <c r="A196" s="11" t="str">
        <f t="shared" si="6"/>
        <v>z</v>
      </c>
      <c r="B196" s="7"/>
      <c r="C196" s="7"/>
      <c r="D196" s="7"/>
      <c r="E196" s="4"/>
      <c r="F196" s="9" t="e">
        <f t="shared" si="7"/>
        <v>#DIV/0!</v>
      </c>
      <c r="G196" s="7"/>
      <c r="H196" s="7"/>
      <c r="I196" s="7"/>
    </row>
    <row r="197" spans="1:9" x14ac:dyDescent="0.35">
      <c r="A197" s="11" t="str">
        <f t="shared" si="6"/>
        <v>z</v>
      </c>
      <c r="B197" s="7"/>
      <c r="C197" s="7"/>
      <c r="D197" s="7"/>
      <c r="E197" s="4"/>
      <c r="F197" s="9" t="e">
        <f t="shared" si="7"/>
        <v>#DIV/0!</v>
      </c>
      <c r="G197" s="7"/>
      <c r="H197" s="7"/>
      <c r="I197" s="7"/>
    </row>
    <row r="198" spans="1:9" x14ac:dyDescent="0.35">
      <c r="A198" s="11" t="str">
        <f t="shared" si="6"/>
        <v>z</v>
      </c>
      <c r="B198" s="7"/>
      <c r="C198" s="7"/>
      <c r="D198" s="7"/>
      <c r="E198" s="4"/>
      <c r="F198" s="9" t="e">
        <f t="shared" si="7"/>
        <v>#DIV/0!</v>
      </c>
      <c r="G198" s="7"/>
      <c r="H198" s="7"/>
      <c r="I198" s="7"/>
    </row>
    <row r="199" spans="1:9" x14ac:dyDescent="0.35">
      <c r="A199" s="11" t="str">
        <f t="shared" si="6"/>
        <v>z</v>
      </c>
      <c r="B199" s="7"/>
      <c r="C199" s="7"/>
      <c r="D199" s="7"/>
      <c r="E199" s="4"/>
      <c r="F199" s="9" t="e">
        <f t="shared" si="7"/>
        <v>#DIV/0!</v>
      </c>
      <c r="G199" s="7"/>
      <c r="H199" s="7"/>
      <c r="I199" s="7"/>
    </row>
    <row r="200" spans="1:9" x14ac:dyDescent="0.35">
      <c r="A200" s="11" t="str">
        <f t="shared" si="6"/>
        <v>z</v>
      </c>
      <c r="B200" s="7"/>
      <c r="C200" s="7"/>
      <c r="D200" s="7"/>
      <c r="E200" s="4"/>
      <c r="F200" s="9" t="e">
        <f t="shared" si="7"/>
        <v>#DIV/0!</v>
      </c>
      <c r="G200" s="7"/>
      <c r="H200" s="7"/>
      <c r="I200" s="7"/>
    </row>
    <row r="201" spans="1:9" x14ac:dyDescent="0.35">
      <c r="A201" s="11" t="str">
        <f t="shared" si="6"/>
        <v>z</v>
      </c>
      <c r="B201" s="7"/>
      <c r="C201" s="7"/>
      <c r="D201" s="7"/>
      <c r="E201" s="4"/>
      <c r="F201" s="9" t="e">
        <f t="shared" si="7"/>
        <v>#DIV/0!</v>
      </c>
      <c r="G201" s="7"/>
      <c r="H201" s="7"/>
      <c r="I201" s="7"/>
    </row>
    <row r="202" spans="1:9" x14ac:dyDescent="0.35">
      <c r="A202" s="11" t="str">
        <f t="shared" si="6"/>
        <v>z</v>
      </c>
      <c r="B202" s="7"/>
      <c r="C202" s="7"/>
      <c r="D202" s="7"/>
      <c r="E202" s="4"/>
      <c r="F202" s="9" t="e">
        <f t="shared" si="7"/>
        <v>#DIV/0!</v>
      </c>
      <c r="G202" s="7"/>
      <c r="H202" s="7"/>
      <c r="I202" s="7"/>
    </row>
    <row r="203" spans="1:9" x14ac:dyDescent="0.35">
      <c r="A203" s="11" t="str">
        <f t="shared" si="6"/>
        <v>z</v>
      </c>
      <c r="B203" s="7"/>
      <c r="C203" s="7"/>
      <c r="D203" s="7"/>
      <c r="E203" s="4"/>
      <c r="F203" s="9" t="e">
        <f t="shared" si="7"/>
        <v>#DIV/0!</v>
      </c>
      <c r="G203" s="7"/>
      <c r="H203" s="7"/>
      <c r="I203" s="7"/>
    </row>
    <row r="204" spans="1:9" x14ac:dyDescent="0.35">
      <c r="A204" s="11" t="str">
        <f t="shared" si="6"/>
        <v>z</v>
      </c>
      <c r="B204" s="7"/>
      <c r="C204" s="7"/>
      <c r="D204" s="7"/>
      <c r="E204" s="4"/>
      <c r="F204" s="9" t="e">
        <f t="shared" si="7"/>
        <v>#DIV/0!</v>
      </c>
      <c r="G204" s="7"/>
      <c r="H204" s="7"/>
      <c r="I204" s="7"/>
    </row>
    <row r="205" spans="1:9" x14ac:dyDescent="0.35">
      <c r="A205" s="11" t="str">
        <f t="shared" si="6"/>
        <v>z</v>
      </c>
      <c r="B205" s="7"/>
      <c r="C205" s="7"/>
      <c r="D205" s="7"/>
      <c r="E205" s="4"/>
      <c r="F205" s="9" t="e">
        <f t="shared" si="7"/>
        <v>#DIV/0!</v>
      </c>
      <c r="G205" s="7"/>
      <c r="H205" s="7"/>
      <c r="I205" s="7"/>
    </row>
    <row r="206" spans="1:9" x14ac:dyDescent="0.35">
      <c r="A206" s="11" t="str">
        <f t="shared" si="6"/>
        <v>z</v>
      </c>
      <c r="B206" s="7"/>
      <c r="C206" s="7"/>
      <c r="D206" s="7"/>
      <c r="E206" s="4"/>
      <c r="F206" s="9" t="e">
        <f t="shared" si="7"/>
        <v>#DIV/0!</v>
      </c>
      <c r="G206" s="7"/>
      <c r="H206" s="7"/>
      <c r="I206" s="7"/>
    </row>
    <row r="207" spans="1:9" x14ac:dyDescent="0.35">
      <c r="A207" s="11" t="str">
        <f t="shared" si="6"/>
        <v>z</v>
      </c>
      <c r="B207" s="7"/>
      <c r="C207" s="7"/>
      <c r="D207" s="7"/>
      <c r="E207" s="4"/>
      <c r="F207" s="9" t="e">
        <f t="shared" si="7"/>
        <v>#DIV/0!</v>
      </c>
      <c r="G207" s="7"/>
      <c r="H207" s="7"/>
      <c r="I207" s="7"/>
    </row>
    <row r="208" spans="1:9" x14ac:dyDescent="0.35">
      <c r="A208" s="11" t="str">
        <f t="shared" si="6"/>
        <v>z</v>
      </c>
      <c r="B208" s="7"/>
      <c r="C208" s="7"/>
      <c r="D208" s="7"/>
      <c r="E208" s="4"/>
      <c r="F208" s="9" t="e">
        <f t="shared" si="7"/>
        <v>#DIV/0!</v>
      </c>
      <c r="G208" s="7"/>
      <c r="H208" s="7"/>
      <c r="I208" s="7"/>
    </row>
    <row r="209" spans="1:9" x14ac:dyDescent="0.35">
      <c r="A209" s="11" t="str">
        <f t="shared" si="6"/>
        <v>z</v>
      </c>
      <c r="B209" s="7"/>
      <c r="C209" s="7"/>
      <c r="D209" s="7"/>
      <c r="E209" s="4"/>
      <c r="F209" s="9" t="e">
        <f t="shared" si="7"/>
        <v>#DIV/0!</v>
      </c>
      <c r="G209" s="7"/>
      <c r="H209" s="7"/>
      <c r="I209" s="7"/>
    </row>
    <row r="210" spans="1:9" x14ac:dyDescent="0.35">
      <c r="A210" s="11" t="str">
        <f t="shared" si="6"/>
        <v>z</v>
      </c>
      <c r="B210" s="7"/>
      <c r="C210" s="7"/>
      <c r="D210" s="7"/>
      <c r="E210" s="4"/>
      <c r="F210" s="9" t="e">
        <f t="shared" si="7"/>
        <v>#DIV/0!</v>
      </c>
      <c r="G210" s="7"/>
      <c r="H210" s="7"/>
      <c r="I210" s="7"/>
    </row>
    <row r="211" spans="1:9" x14ac:dyDescent="0.35">
      <c r="A211" s="11" t="str">
        <f t="shared" si="6"/>
        <v>z</v>
      </c>
      <c r="B211" s="7"/>
      <c r="C211" s="7"/>
      <c r="D211" s="7"/>
      <c r="E211" s="4"/>
      <c r="F211" s="9" t="e">
        <f t="shared" si="7"/>
        <v>#DIV/0!</v>
      </c>
      <c r="G211" s="7"/>
      <c r="H211" s="7"/>
      <c r="I211" s="7"/>
    </row>
    <row r="212" spans="1:9" x14ac:dyDescent="0.35">
      <c r="A212" s="11" t="str">
        <f t="shared" si="6"/>
        <v>z</v>
      </c>
      <c r="B212" s="7"/>
      <c r="C212" s="7"/>
      <c r="D212" s="7"/>
      <c r="E212" s="4"/>
      <c r="F212" s="9" t="e">
        <f t="shared" si="7"/>
        <v>#DIV/0!</v>
      </c>
      <c r="G212" s="7"/>
      <c r="H212" s="7"/>
      <c r="I212" s="7"/>
    </row>
    <row r="213" spans="1:9" x14ac:dyDescent="0.35">
      <c r="A213" s="11" t="str">
        <f t="shared" si="6"/>
        <v>z</v>
      </c>
      <c r="B213" s="7"/>
      <c r="C213" s="7"/>
      <c r="D213" s="7"/>
      <c r="E213" s="4"/>
      <c r="F213" s="9" t="e">
        <f t="shared" si="7"/>
        <v>#DIV/0!</v>
      </c>
      <c r="G213" s="7"/>
      <c r="H213" s="7"/>
      <c r="I213" s="7"/>
    </row>
    <row r="214" spans="1:9" x14ac:dyDescent="0.35">
      <c r="A214" s="11" t="str">
        <f t="shared" si="6"/>
        <v>z</v>
      </c>
      <c r="B214" s="7"/>
      <c r="C214" s="7"/>
      <c r="D214" s="7"/>
      <c r="E214" s="4"/>
      <c r="F214" s="9" t="e">
        <f t="shared" si="7"/>
        <v>#DIV/0!</v>
      </c>
      <c r="G214" s="7"/>
      <c r="H214" s="7"/>
      <c r="I214" s="7"/>
    </row>
    <row r="215" spans="1:9" x14ac:dyDescent="0.35">
      <c r="A215" s="11" t="str">
        <f t="shared" si="6"/>
        <v>z</v>
      </c>
      <c r="B215" s="7"/>
      <c r="C215" s="7"/>
      <c r="D215" s="7"/>
      <c r="E215" s="4"/>
      <c r="F215" s="9" t="e">
        <f t="shared" si="7"/>
        <v>#DIV/0!</v>
      </c>
      <c r="G215" s="7"/>
      <c r="H215" s="7"/>
      <c r="I215" s="7"/>
    </row>
    <row r="216" spans="1:9" x14ac:dyDescent="0.35">
      <c r="A216" s="11" t="str">
        <f t="shared" si="6"/>
        <v>z</v>
      </c>
      <c r="B216" s="7"/>
      <c r="C216" s="7"/>
      <c r="D216" s="7"/>
      <c r="E216" s="4"/>
      <c r="F216" s="9" t="e">
        <f t="shared" si="7"/>
        <v>#DIV/0!</v>
      </c>
      <c r="G216" s="7"/>
      <c r="H216" s="7"/>
      <c r="I216" s="7"/>
    </row>
    <row r="217" spans="1:9" x14ac:dyDescent="0.35">
      <c r="A217" s="11" t="str">
        <f t="shared" si="6"/>
        <v>z</v>
      </c>
      <c r="B217" s="7"/>
      <c r="C217" s="7"/>
      <c r="D217" s="7"/>
      <c r="E217" s="4"/>
      <c r="F217" s="9" t="e">
        <f t="shared" si="7"/>
        <v>#DIV/0!</v>
      </c>
      <c r="G217" s="7"/>
      <c r="H217" s="7"/>
      <c r="I217" s="7"/>
    </row>
    <row r="218" spans="1:9" x14ac:dyDescent="0.35">
      <c r="A218" s="11" t="str">
        <f t="shared" si="6"/>
        <v>z</v>
      </c>
      <c r="B218" s="7"/>
      <c r="C218" s="7"/>
      <c r="D218" s="7"/>
      <c r="E218" s="4"/>
      <c r="F218" s="9" t="e">
        <f t="shared" si="7"/>
        <v>#DIV/0!</v>
      </c>
      <c r="G218" s="7"/>
      <c r="H218" s="7"/>
      <c r="I218" s="7"/>
    </row>
    <row r="219" spans="1:9" x14ac:dyDescent="0.35">
      <c r="A219" s="11" t="str">
        <f t="shared" si="6"/>
        <v>z</v>
      </c>
      <c r="B219" s="7"/>
      <c r="C219" s="7"/>
      <c r="D219" s="7"/>
      <c r="E219" s="4"/>
      <c r="F219" s="9" t="e">
        <f t="shared" si="7"/>
        <v>#DIV/0!</v>
      </c>
      <c r="G219" s="7"/>
      <c r="H219" s="7"/>
      <c r="I219" s="7"/>
    </row>
    <row r="220" spans="1:9" x14ac:dyDescent="0.35">
      <c r="A220" s="11" t="str">
        <f t="shared" si="6"/>
        <v>z</v>
      </c>
      <c r="B220" s="7"/>
      <c r="C220" s="7"/>
      <c r="D220" s="7"/>
      <c r="E220" s="4"/>
      <c r="F220" s="9" t="e">
        <f t="shared" si="7"/>
        <v>#DIV/0!</v>
      </c>
      <c r="G220" s="7"/>
      <c r="H220" s="7"/>
      <c r="I220" s="7"/>
    </row>
    <row r="221" spans="1:9" x14ac:dyDescent="0.35">
      <c r="A221" s="11" t="str">
        <f t="shared" si="6"/>
        <v>z</v>
      </c>
      <c r="B221" s="7"/>
      <c r="C221" s="7"/>
      <c r="D221" s="7"/>
      <c r="E221" s="4"/>
      <c r="F221" s="9" t="e">
        <f t="shared" si="7"/>
        <v>#DIV/0!</v>
      </c>
      <c r="G221" s="7"/>
      <c r="H221" s="7"/>
      <c r="I221" s="7"/>
    </row>
    <row r="222" spans="1:9" x14ac:dyDescent="0.35">
      <c r="A222" s="11" t="str">
        <f t="shared" si="6"/>
        <v>z</v>
      </c>
      <c r="B222" s="7"/>
      <c r="C222" s="7"/>
      <c r="D222" s="7"/>
      <c r="E222" s="4"/>
      <c r="F222" s="9" t="e">
        <f t="shared" si="7"/>
        <v>#DIV/0!</v>
      </c>
      <c r="G222" s="7"/>
      <c r="H222" s="7"/>
      <c r="I222" s="7"/>
    </row>
    <row r="223" spans="1:9" x14ac:dyDescent="0.35">
      <c r="A223" s="11" t="str">
        <f t="shared" si="6"/>
        <v>z</v>
      </c>
      <c r="B223" s="7"/>
      <c r="C223" s="7"/>
      <c r="D223" s="7"/>
      <c r="E223" s="4"/>
      <c r="F223" s="9" t="e">
        <f t="shared" si="7"/>
        <v>#DIV/0!</v>
      </c>
      <c r="G223" s="7"/>
      <c r="H223" s="7"/>
      <c r="I223" s="7"/>
    </row>
    <row r="224" spans="1:9" x14ac:dyDescent="0.35">
      <c r="A224" s="11" t="str">
        <f t="shared" si="6"/>
        <v>z</v>
      </c>
      <c r="B224" s="7"/>
      <c r="C224" s="7"/>
      <c r="D224" s="7"/>
      <c r="E224" s="4"/>
      <c r="F224" s="9" t="e">
        <f t="shared" si="7"/>
        <v>#DIV/0!</v>
      </c>
      <c r="G224" s="7"/>
      <c r="H224" s="7"/>
      <c r="I224" s="7"/>
    </row>
    <row r="225" spans="1:9" x14ac:dyDescent="0.35">
      <c r="A225" s="11" t="str">
        <f t="shared" si="6"/>
        <v>z</v>
      </c>
      <c r="B225" s="7"/>
      <c r="C225" s="7"/>
      <c r="D225" s="7"/>
      <c r="E225" s="4"/>
      <c r="F225" s="9" t="e">
        <f t="shared" si="7"/>
        <v>#DIV/0!</v>
      </c>
      <c r="G225" s="7"/>
      <c r="H225" s="7"/>
      <c r="I225" s="7"/>
    </row>
    <row r="226" spans="1:9" x14ac:dyDescent="0.35">
      <c r="A226" s="11" t="str">
        <f t="shared" si="6"/>
        <v>z</v>
      </c>
      <c r="B226" s="7"/>
      <c r="C226" s="7"/>
      <c r="D226" s="7"/>
      <c r="E226" s="4"/>
      <c r="F226" s="9" t="e">
        <f t="shared" si="7"/>
        <v>#DIV/0!</v>
      </c>
      <c r="G226" s="7"/>
      <c r="H226" s="7"/>
      <c r="I226" s="7"/>
    </row>
    <row r="227" spans="1:9" x14ac:dyDescent="0.35">
      <c r="A227" s="11" t="str">
        <f t="shared" si="6"/>
        <v>z</v>
      </c>
      <c r="B227" s="7"/>
      <c r="C227" s="7"/>
      <c r="D227" s="7"/>
      <c r="E227" s="4"/>
      <c r="F227" s="9" t="e">
        <f t="shared" si="7"/>
        <v>#DIV/0!</v>
      </c>
      <c r="G227" s="7"/>
      <c r="H227" s="7"/>
      <c r="I227" s="7"/>
    </row>
    <row r="228" spans="1:9" x14ac:dyDescent="0.35">
      <c r="A228" s="11" t="str">
        <f t="shared" si="6"/>
        <v>z</v>
      </c>
      <c r="B228" s="7"/>
      <c r="C228" s="7"/>
      <c r="D228" s="7"/>
      <c r="E228" s="4"/>
      <c r="F228" s="9" t="e">
        <f t="shared" si="7"/>
        <v>#DIV/0!</v>
      </c>
      <c r="G228" s="7"/>
      <c r="H228" s="7"/>
      <c r="I228" s="7"/>
    </row>
    <row r="229" spans="1:9" x14ac:dyDescent="0.35">
      <c r="A229" s="11" t="str">
        <f t="shared" si="6"/>
        <v>z</v>
      </c>
      <c r="B229" s="7"/>
      <c r="C229" s="7"/>
      <c r="D229" s="7"/>
      <c r="E229" s="4"/>
      <c r="F229" s="9" t="e">
        <f t="shared" si="7"/>
        <v>#DIV/0!</v>
      </c>
      <c r="G229" s="7"/>
      <c r="H229" s="7"/>
      <c r="I229" s="7"/>
    </row>
    <row r="230" spans="1:9" x14ac:dyDescent="0.35">
      <c r="A230" s="11" t="str">
        <f t="shared" si="6"/>
        <v>z</v>
      </c>
      <c r="B230" s="7"/>
      <c r="C230" s="7"/>
      <c r="D230" s="7"/>
      <c r="E230" s="4"/>
      <c r="F230" s="9" t="e">
        <f t="shared" si="7"/>
        <v>#DIV/0!</v>
      </c>
      <c r="G230" s="7"/>
      <c r="H230" s="7"/>
      <c r="I230" s="7"/>
    </row>
    <row r="231" spans="1:9" x14ac:dyDescent="0.35">
      <c r="A231" s="11" t="str">
        <f t="shared" si="6"/>
        <v>z</v>
      </c>
      <c r="B231" s="7"/>
      <c r="C231" s="7"/>
      <c r="D231" s="7"/>
      <c r="E231" s="4"/>
      <c r="F231" s="9" t="e">
        <f t="shared" si="7"/>
        <v>#DIV/0!</v>
      </c>
      <c r="G231" s="7"/>
      <c r="H231" s="7"/>
      <c r="I231" s="7"/>
    </row>
    <row r="232" spans="1:9" x14ac:dyDescent="0.35">
      <c r="A232" s="11" t="str">
        <f t="shared" si="6"/>
        <v>z</v>
      </c>
      <c r="B232" s="7"/>
      <c r="C232" s="7"/>
      <c r="D232" s="7"/>
      <c r="E232" s="4"/>
      <c r="F232" s="9" t="e">
        <f t="shared" si="7"/>
        <v>#DIV/0!</v>
      </c>
      <c r="G232" s="7"/>
      <c r="H232" s="7"/>
      <c r="I232" s="7"/>
    </row>
    <row r="233" spans="1:9" x14ac:dyDescent="0.35">
      <c r="A233" s="11" t="str">
        <f t="shared" si="6"/>
        <v>z</v>
      </c>
      <c r="B233" s="7"/>
      <c r="C233" s="7"/>
      <c r="D233" s="7"/>
      <c r="E233" s="4"/>
      <c r="F233" s="9" t="e">
        <f t="shared" si="7"/>
        <v>#DIV/0!</v>
      </c>
      <c r="G233" s="7"/>
      <c r="H233" s="7"/>
      <c r="I233" s="7"/>
    </row>
    <row r="234" spans="1:9" x14ac:dyDescent="0.35">
      <c r="A234" s="11" t="str">
        <f t="shared" si="6"/>
        <v>z</v>
      </c>
      <c r="B234" s="7"/>
      <c r="C234" s="7"/>
      <c r="D234" s="7"/>
      <c r="E234" s="4"/>
      <c r="F234" s="9" t="e">
        <f t="shared" si="7"/>
        <v>#DIV/0!</v>
      </c>
      <c r="G234" s="7"/>
      <c r="H234" s="7"/>
      <c r="I234" s="7"/>
    </row>
    <row r="235" spans="1:9" x14ac:dyDescent="0.35">
      <c r="A235" s="11" t="str">
        <f t="shared" si="6"/>
        <v>z</v>
      </c>
      <c r="B235" s="7"/>
      <c r="C235" s="7"/>
      <c r="D235" s="7"/>
      <c r="E235" s="4"/>
      <c r="F235" s="9" t="e">
        <f t="shared" si="7"/>
        <v>#DIV/0!</v>
      </c>
      <c r="G235" s="7"/>
      <c r="H235" s="7"/>
      <c r="I235" s="7"/>
    </row>
    <row r="236" spans="1:9" x14ac:dyDescent="0.35">
      <c r="A236" s="11" t="str">
        <f t="shared" si="6"/>
        <v>z</v>
      </c>
      <c r="B236" s="7"/>
      <c r="C236" s="7"/>
      <c r="D236" s="7"/>
      <c r="E236" s="4"/>
      <c r="F236" s="9" t="e">
        <f t="shared" si="7"/>
        <v>#DIV/0!</v>
      </c>
      <c r="G236" s="7"/>
      <c r="H236" s="7"/>
      <c r="I236" s="7"/>
    </row>
    <row r="237" spans="1:9" x14ac:dyDescent="0.35">
      <c r="A237" s="11" t="str">
        <f t="shared" si="6"/>
        <v>z</v>
      </c>
      <c r="B237" s="7"/>
      <c r="C237" s="7"/>
      <c r="D237" s="7"/>
      <c r="E237" s="4"/>
      <c r="F237" s="9" t="e">
        <f t="shared" si="7"/>
        <v>#DIV/0!</v>
      </c>
      <c r="G237" s="7"/>
      <c r="H237" s="7"/>
      <c r="I237" s="7"/>
    </row>
    <row r="238" spans="1:9" x14ac:dyDescent="0.35">
      <c r="A238" s="11" t="str">
        <f t="shared" si="6"/>
        <v>z</v>
      </c>
      <c r="B238" s="7"/>
      <c r="C238" s="7"/>
      <c r="D238" s="7"/>
      <c r="E238" s="4"/>
      <c r="F238" s="9" t="e">
        <f t="shared" si="7"/>
        <v>#DIV/0!</v>
      </c>
      <c r="G238" s="7"/>
      <c r="H238" s="7"/>
      <c r="I238" s="7"/>
    </row>
    <row r="239" spans="1:9" x14ac:dyDescent="0.35">
      <c r="A239" s="11" t="str">
        <f t="shared" si="6"/>
        <v>z</v>
      </c>
      <c r="B239" s="7"/>
      <c r="C239" s="7"/>
      <c r="D239" s="7"/>
      <c r="E239" s="4"/>
      <c r="F239" s="9" t="e">
        <f t="shared" si="7"/>
        <v>#DIV/0!</v>
      </c>
      <c r="G239" s="7"/>
      <c r="H239" s="7"/>
      <c r="I239" s="7"/>
    </row>
    <row r="240" spans="1:9" x14ac:dyDescent="0.35">
      <c r="A240" s="11" t="str">
        <f t="shared" si="6"/>
        <v>z</v>
      </c>
      <c r="B240" s="7"/>
      <c r="C240" s="7"/>
      <c r="D240" s="7"/>
      <c r="E240" s="4"/>
      <c r="F240" s="9" t="e">
        <f t="shared" si="7"/>
        <v>#DIV/0!</v>
      </c>
      <c r="G240" s="7"/>
      <c r="H240" s="7"/>
      <c r="I240" s="7"/>
    </row>
    <row r="241" spans="1:9" x14ac:dyDescent="0.35">
      <c r="A241" s="11" t="str">
        <f t="shared" si="6"/>
        <v>z</v>
      </c>
      <c r="B241" s="7"/>
      <c r="C241" s="7"/>
      <c r="D241" s="7"/>
      <c r="E241" s="4"/>
      <c r="F241" s="9" t="e">
        <f t="shared" si="7"/>
        <v>#DIV/0!</v>
      </c>
      <c r="G241" s="7"/>
      <c r="H241" s="7"/>
      <c r="I241" s="7"/>
    </row>
    <row r="242" spans="1:9" x14ac:dyDescent="0.35">
      <c r="A242" s="11" t="str">
        <f t="shared" si="6"/>
        <v>z</v>
      </c>
      <c r="B242" s="7"/>
      <c r="C242" s="7"/>
      <c r="D242" s="7"/>
      <c r="E242" s="4"/>
      <c r="F242" s="9" t="e">
        <f t="shared" si="7"/>
        <v>#DIV/0!</v>
      </c>
      <c r="G242" s="7"/>
      <c r="H242" s="7"/>
      <c r="I242" s="7"/>
    </row>
    <row r="243" spans="1:9" x14ac:dyDescent="0.35">
      <c r="A243" s="11" t="str">
        <f t="shared" si="6"/>
        <v>z</v>
      </c>
      <c r="B243" s="7"/>
      <c r="C243" s="7"/>
      <c r="D243" s="7"/>
      <c r="E243" s="4"/>
      <c r="F243" s="9" t="e">
        <f t="shared" si="7"/>
        <v>#DIV/0!</v>
      </c>
      <c r="G243" s="7"/>
      <c r="H243" s="7"/>
      <c r="I243" s="7"/>
    </row>
    <row r="244" spans="1:9" x14ac:dyDescent="0.35">
      <c r="A244" s="11" t="str">
        <f t="shared" si="6"/>
        <v>z</v>
      </c>
      <c r="B244" s="7"/>
      <c r="C244" s="7"/>
      <c r="D244" s="7"/>
      <c r="E244" s="4"/>
      <c r="F244" s="9" t="e">
        <f t="shared" si="7"/>
        <v>#DIV/0!</v>
      </c>
      <c r="G244" s="7"/>
      <c r="H244" s="7"/>
      <c r="I244" s="7"/>
    </row>
    <row r="245" spans="1:9" x14ac:dyDescent="0.35">
      <c r="A245" s="11" t="str">
        <f t="shared" si="6"/>
        <v>z</v>
      </c>
      <c r="B245" s="7"/>
      <c r="C245" s="7"/>
      <c r="D245" s="7"/>
      <c r="E245" s="4"/>
      <c r="F245" s="9" t="e">
        <f t="shared" si="7"/>
        <v>#DIV/0!</v>
      </c>
      <c r="G245" s="7"/>
      <c r="H245" s="7"/>
      <c r="I245" s="7"/>
    </row>
    <row r="246" spans="1:9" x14ac:dyDescent="0.35">
      <c r="A246" s="11" t="str">
        <f t="shared" si="6"/>
        <v>z</v>
      </c>
      <c r="B246" s="7"/>
      <c r="C246" s="7"/>
      <c r="D246" s="7"/>
      <c r="E246" s="4"/>
      <c r="F246" s="9" t="e">
        <f t="shared" si="7"/>
        <v>#DIV/0!</v>
      </c>
      <c r="G246" s="7"/>
      <c r="H246" s="7"/>
      <c r="I246" s="7"/>
    </row>
    <row r="247" spans="1:9" x14ac:dyDescent="0.35">
      <c r="A247" s="11" t="str">
        <f t="shared" si="6"/>
        <v>z</v>
      </c>
      <c r="B247" s="7"/>
      <c r="C247" s="7"/>
      <c r="D247" s="7"/>
      <c r="E247" s="4"/>
      <c r="F247" s="9" t="e">
        <f t="shared" si="7"/>
        <v>#DIV/0!</v>
      </c>
      <c r="G247" s="7"/>
      <c r="H247" s="7"/>
      <c r="I247" s="7"/>
    </row>
    <row r="248" spans="1:9" x14ac:dyDescent="0.35">
      <c r="A248" s="11" t="str">
        <f t="shared" si="6"/>
        <v>z</v>
      </c>
      <c r="B248" s="7"/>
      <c r="C248" s="7"/>
      <c r="D248" s="7"/>
      <c r="E248" s="4"/>
      <c r="F248" s="9" t="e">
        <f t="shared" si="7"/>
        <v>#DIV/0!</v>
      </c>
      <c r="G248" s="7"/>
      <c r="H248" s="7"/>
      <c r="I248" s="7"/>
    </row>
    <row r="249" spans="1:9" x14ac:dyDescent="0.35">
      <c r="A249" s="11" t="str">
        <f t="shared" si="6"/>
        <v>z</v>
      </c>
      <c r="B249" s="7"/>
      <c r="C249" s="7"/>
      <c r="D249" s="7"/>
      <c r="E249" s="4"/>
      <c r="F249" s="9" t="e">
        <f t="shared" si="7"/>
        <v>#DIV/0!</v>
      </c>
      <c r="G249" s="7"/>
      <c r="H249" s="7"/>
      <c r="I249" s="7"/>
    </row>
    <row r="250" spans="1:9" x14ac:dyDescent="0.35">
      <c r="A250" s="11" t="str">
        <f t="shared" si="6"/>
        <v>z</v>
      </c>
      <c r="B250" s="7"/>
      <c r="C250" s="7"/>
      <c r="D250" s="7"/>
      <c r="E250" s="4"/>
      <c r="F250" s="9" t="e">
        <f t="shared" si="7"/>
        <v>#DIV/0!</v>
      </c>
      <c r="G250" s="7"/>
      <c r="H250" s="7"/>
      <c r="I250" s="7"/>
    </row>
    <row r="251" spans="1:9" x14ac:dyDescent="0.35">
      <c r="A251" s="11" t="str">
        <f t="shared" si="6"/>
        <v>z</v>
      </c>
      <c r="B251" s="7"/>
      <c r="C251" s="7"/>
      <c r="D251" s="7"/>
      <c r="E251" s="4"/>
      <c r="F251" s="9" t="e">
        <f t="shared" si="7"/>
        <v>#DIV/0!</v>
      </c>
      <c r="G251" s="7"/>
      <c r="H251" s="7"/>
      <c r="I251" s="7"/>
    </row>
    <row r="252" spans="1:9" x14ac:dyDescent="0.35">
      <c r="A252" s="11" t="str">
        <f t="shared" si="6"/>
        <v>z</v>
      </c>
      <c r="B252" s="7"/>
      <c r="C252" s="7"/>
      <c r="D252" s="7"/>
      <c r="E252" s="4"/>
      <c r="F252" s="9" t="e">
        <f t="shared" si="7"/>
        <v>#DIV/0!</v>
      </c>
      <c r="G252" s="7"/>
      <c r="H252" s="7"/>
      <c r="I252" s="7"/>
    </row>
    <row r="253" spans="1:9" x14ac:dyDescent="0.35">
      <c r="A253" s="11" t="str">
        <f t="shared" si="6"/>
        <v>z</v>
      </c>
      <c r="B253" s="7"/>
      <c r="C253" s="7"/>
      <c r="D253" s="7"/>
      <c r="E253" s="4"/>
      <c r="F253" s="9" t="e">
        <f t="shared" si="7"/>
        <v>#DIV/0!</v>
      </c>
      <c r="G253" s="7"/>
      <c r="H253" s="7"/>
      <c r="I253" s="7"/>
    </row>
    <row r="254" spans="1:9" x14ac:dyDescent="0.35">
      <c r="A254" s="11" t="str">
        <f t="shared" si="6"/>
        <v>z</v>
      </c>
      <c r="B254" s="7"/>
      <c r="C254" s="7"/>
      <c r="D254" s="7"/>
      <c r="E254" s="4"/>
      <c r="F254" s="9" t="e">
        <f t="shared" si="7"/>
        <v>#DIV/0!</v>
      </c>
      <c r="G254" s="7"/>
      <c r="H254" s="7"/>
      <c r="I254" s="7"/>
    </row>
    <row r="255" spans="1:9" x14ac:dyDescent="0.35">
      <c r="A255" s="11" t="str">
        <f t="shared" si="6"/>
        <v>z</v>
      </c>
      <c r="B255" s="7"/>
      <c r="C255" s="7"/>
      <c r="D255" s="7"/>
      <c r="E255" s="4"/>
      <c r="F255" s="9" t="e">
        <f t="shared" si="7"/>
        <v>#DIV/0!</v>
      </c>
      <c r="G255" s="7"/>
      <c r="H255" s="7"/>
      <c r="I255" s="7"/>
    </row>
    <row r="256" spans="1:9" x14ac:dyDescent="0.35">
      <c r="A256" s="11" t="str">
        <f t="shared" si="6"/>
        <v>z</v>
      </c>
      <c r="B256" s="7"/>
      <c r="C256" s="7"/>
      <c r="D256" s="7"/>
      <c r="E256" s="4"/>
      <c r="F256" s="9" t="e">
        <f t="shared" si="7"/>
        <v>#DIV/0!</v>
      </c>
      <c r="G256" s="7"/>
      <c r="H256" s="7"/>
      <c r="I256" s="7"/>
    </row>
    <row r="257" spans="1:9" x14ac:dyDescent="0.35">
      <c r="A257" s="11" t="str">
        <f t="shared" si="6"/>
        <v>z</v>
      </c>
      <c r="B257" s="7"/>
      <c r="C257" s="7"/>
      <c r="D257" s="7"/>
      <c r="E257" s="4"/>
      <c r="F257" s="9" t="e">
        <f t="shared" si="7"/>
        <v>#DIV/0!</v>
      </c>
      <c r="G257" s="7"/>
      <c r="H257" s="7"/>
      <c r="I257" s="7"/>
    </row>
    <row r="258" spans="1:9" x14ac:dyDescent="0.35">
      <c r="A258" s="11" t="str">
        <f t="shared" ref="A258:A321" si="8">IF(OR(C258="",I258=""),"z",C258&amp;" - "&amp;I258)</f>
        <v>z</v>
      </c>
      <c r="B258" s="7"/>
      <c r="C258" s="7"/>
      <c r="D258" s="7"/>
      <c r="E258" s="4"/>
      <c r="F258" s="9" t="e">
        <f t="shared" ref="F258:F321" si="9">D258/E258</f>
        <v>#DIV/0!</v>
      </c>
      <c r="G258" s="7"/>
      <c r="H258" s="7"/>
      <c r="I258" s="7"/>
    </row>
    <row r="259" spans="1:9" x14ac:dyDescent="0.35">
      <c r="A259" s="11" t="str">
        <f t="shared" si="8"/>
        <v>z</v>
      </c>
      <c r="B259" s="7"/>
      <c r="C259" s="7"/>
      <c r="D259" s="7"/>
      <c r="E259" s="4"/>
      <c r="F259" s="9" t="e">
        <f t="shared" si="9"/>
        <v>#DIV/0!</v>
      </c>
      <c r="G259" s="7"/>
      <c r="H259" s="7"/>
      <c r="I259" s="7"/>
    </row>
    <row r="260" spans="1:9" x14ac:dyDescent="0.35">
      <c r="A260" s="11" t="str">
        <f t="shared" si="8"/>
        <v>z</v>
      </c>
      <c r="B260" s="7"/>
      <c r="C260" s="7"/>
      <c r="D260" s="7"/>
      <c r="E260" s="4"/>
      <c r="F260" s="9" t="e">
        <f t="shared" si="9"/>
        <v>#DIV/0!</v>
      </c>
      <c r="G260" s="7"/>
      <c r="H260" s="7"/>
      <c r="I260" s="7"/>
    </row>
    <row r="261" spans="1:9" x14ac:dyDescent="0.35">
      <c r="A261" s="11" t="str">
        <f t="shared" si="8"/>
        <v>z</v>
      </c>
      <c r="B261" s="7"/>
      <c r="C261" s="7"/>
      <c r="D261" s="7"/>
      <c r="E261" s="4"/>
      <c r="F261" s="9" t="e">
        <f t="shared" si="9"/>
        <v>#DIV/0!</v>
      </c>
      <c r="G261" s="7"/>
      <c r="H261" s="7"/>
      <c r="I261" s="7"/>
    </row>
    <row r="262" spans="1:9" x14ac:dyDescent="0.35">
      <c r="A262" s="11" t="str">
        <f t="shared" si="8"/>
        <v>z</v>
      </c>
      <c r="B262" s="7"/>
      <c r="C262" s="7"/>
      <c r="D262" s="7"/>
      <c r="E262" s="4"/>
      <c r="F262" s="9" t="e">
        <f t="shared" si="9"/>
        <v>#DIV/0!</v>
      </c>
      <c r="G262" s="7"/>
      <c r="H262" s="7"/>
      <c r="I262" s="7"/>
    </row>
    <row r="263" spans="1:9" x14ac:dyDescent="0.35">
      <c r="A263" s="11" t="str">
        <f t="shared" si="8"/>
        <v>z</v>
      </c>
      <c r="B263" s="7"/>
      <c r="C263" s="7"/>
      <c r="D263" s="7"/>
      <c r="E263" s="4"/>
      <c r="F263" s="9" t="e">
        <f t="shared" si="9"/>
        <v>#DIV/0!</v>
      </c>
      <c r="G263" s="7"/>
      <c r="H263" s="7"/>
      <c r="I263" s="7"/>
    </row>
    <row r="264" spans="1:9" x14ac:dyDescent="0.35">
      <c r="A264" s="11" t="str">
        <f t="shared" si="8"/>
        <v>z</v>
      </c>
      <c r="B264" s="7"/>
      <c r="C264" s="7"/>
      <c r="D264" s="7"/>
      <c r="E264" s="4"/>
      <c r="F264" s="9" t="e">
        <f t="shared" si="9"/>
        <v>#DIV/0!</v>
      </c>
      <c r="G264" s="7"/>
      <c r="H264" s="7"/>
      <c r="I264" s="7"/>
    </row>
    <row r="265" spans="1:9" x14ac:dyDescent="0.35">
      <c r="A265" s="11" t="str">
        <f t="shared" si="8"/>
        <v>z</v>
      </c>
      <c r="B265" s="7"/>
      <c r="C265" s="7"/>
      <c r="D265" s="7"/>
      <c r="E265" s="4"/>
      <c r="F265" s="9" t="e">
        <f t="shared" si="9"/>
        <v>#DIV/0!</v>
      </c>
      <c r="G265" s="7"/>
      <c r="H265" s="7"/>
      <c r="I265" s="7"/>
    </row>
    <row r="266" spans="1:9" x14ac:dyDescent="0.35">
      <c r="A266" s="11" t="str">
        <f t="shared" si="8"/>
        <v>z</v>
      </c>
      <c r="B266" s="7"/>
      <c r="C266" s="7"/>
      <c r="D266" s="7"/>
      <c r="E266" s="4"/>
      <c r="F266" s="9" t="e">
        <f t="shared" si="9"/>
        <v>#DIV/0!</v>
      </c>
      <c r="G266" s="7"/>
      <c r="H266" s="7"/>
      <c r="I266" s="7"/>
    </row>
    <row r="267" spans="1:9" x14ac:dyDescent="0.35">
      <c r="A267" s="11" t="str">
        <f t="shared" si="8"/>
        <v>z</v>
      </c>
      <c r="B267" s="7"/>
      <c r="C267" s="7"/>
      <c r="D267" s="7"/>
      <c r="E267" s="4"/>
      <c r="F267" s="9" t="e">
        <f t="shared" si="9"/>
        <v>#DIV/0!</v>
      </c>
      <c r="G267" s="7"/>
      <c r="H267" s="7"/>
      <c r="I267" s="7"/>
    </row>
    <row r="268" spans="1:9" x14ac:dyDescent="0.35">
      <c r="A268" s="11" t="str">
        <f t="shared" si="8"/>
        <v>z</v>
      </c>
      <c r="B268" s="7"/>
      <c r="C268" s="7"/>
      <c r="D268" s="7"/>
      <c r="E268" s="4"/>
      <c r="F268" s="9" t="e">
        <f t="shared" si="9"/>
        <v>#DIV/0!</v>
      </c>
      <c r="G268" s="7"/>
      <c r="H268" s="7"/>
      <c r="I268" s="7"/>
    </row>
    <row r="269" spans="1:9" x14ac:dyDescent="0.35">
      <c r="A269" s="11" t="str">
        <f t="shared" si="8"/>
        <v>z</v>
      </c>
      <c r="B269" s="7"/>
      <c r="C269" s="7"/>
      <c r="D269" s="7"/>
      <c r="E269" s="4"/>
      <c r="F269" s="9" t="e">
        <f t="shared" si="9"/>
        <v>#DIV/0!</v>
      </c>
      <c r="G269" s="7"/>
      <c r="H269" s="7"/>
      <c r="I269" s="7"/>
    </row>
    <row r="270" spans="1:9" x14ac:dyDescent="0.35">
      <c r="A270" s="11" t="str">
        <f t="shared" si="8"/>
        <v>z</v>
      </c>
      <c r="B270" s="7"/>
      <c r="C270" s="7"/>
      <c r="D270" s="7"/>
      <c r="E270" s="4"/>
      <c r="F270" s="9" t="e">
        <f t="shared" si="9"/>
        <v>#DIV/0!</v>
      </c>
      <c r="G270" s="7"/>
      <c r="H270" s="7"/>
      <c r="I270" s="7"/>
    </row>
    <row r="271" spans="1:9" x14ac:dyDescent="0.35">
      <c r="A271" s="11" t="str">
        <f t="shared" si="8"/>
        <v>z</v>
      </c>
      <c r="B271" s="7"/>
      <c r="C271" s="7"/>
      <c r="D271" s="7"/>
      <c r="E271" s="4"/>
      <c r="F271" s="9" t="e">
        <f t="shared" si="9"/>
        <v>#DIV/0!</v>
      </c>
      <c r="G271" s="7"/>
      <c r="H271" s="7"/>
      <c r="I271" s="7"/>
    </row>
    <row r="272" spans="1:9" x14ac:dyDescent="0.35">
      <c r="A272" s="11" t="str">
        <f t="shared" si="8"/>
        <v>z</v>
      </c>
      <c r="B272" s="7"/>
      <c r="C272" s="7"/>
      <c r="D272" s="7"/>
      <c r="E272" s="4"/>
      <c r="F272" s="9" t="e">
        <f t="shared" si="9"/>
        <v>#DIV/0!</v>
      </c>
      <c r="G272" s="7"/>
      <c r="H272" s="7"/>
      <c r="I272" s="7"/>
    </row>
    <row r="273" spans="1:9" x14ac:dyDescent="0.35">
      <c r="A273" s="11" t="str">
        <f t="shared" si="8"/>
        <v>z</v>
      </c>
      <c r="B273" s="7"/>
      <c r="C273" s="7"/>
      <c r="D273" s="7"/>
      <c r="E273" s="4"/>
      <c r="F273" s="9" t="e">
        <f t="shared" si="9"/>
        <v>#DIV/0!</v>
      </c>
      <c r="G273" s="7"/>
      <c r="H273" s="7"/>
      <c r="I273" s="7"/>
    </row>
    <row r="274" spans="1:9" x14ac:dyDescent="0.35">
      <c r="A274" s="11" t="str">
        <f t="shared" si="8"/>
        <v>z</v>
      </c>
      <c r="B274" s="7"/>
      <c r="C274" s="7"/>
      <c r="D274" s="7"/>
      <c r="E274" s="4"/>
      <c r="F274" s="9" t="e">
        <f t="shared" si="9"/>
        <v>#DIV/0!</v>
      </c>
      <c r="G274" s="7"/>
      <c r="H274" s="7"/>
      <c r="I274" s="7"/>
    </row>
    <row r="275" spans="1:9" x14ac:dyDescent="0.35">
      <c r="A275" s="11" t="str">
        <f t="shared" si="8"/>
        <v>z</v>
      </c>
      <c r="B275" s="7"/>
      <c r="C275" s="7"/>
      <c r="D275" s="7"/>
      <c r="E275" s="4"/>
      <c r="F275" s="9" t="e">
        <f t="shared" si="9"/>
        <v>#DIV/0!</v>
      </c>
      <c r="G275" s="7"/>
      <c r="H275" s="7"/>
      <c r="I275" s="7"/>
    </row>
    <row r="276" spans="1:9" x14ac:dyDescent="0.35">
      <c r="A276" s="11" t="str">
        <f t="shared" si="8"/>
        <v>z</v>
      </c>
      <c r="B276" s="7"/>
      <c r="C276" s="7"/>
      <c r="D276" s="7"/>
      <c r="E276" s="4"/>
      <c r="F276" s="9" t="e">
        <f t="shared" si="9"/>
        <v>#DIV/0!</v>
      </c>
      <c r="G276" s="7"/>
      <c r="H276" s="7"/>
      <c r="I276" s="7"/>
    </row>
    <row r="277" spans="1:9" x14ac:dyDescent="0.35">
      <c r="A277" s="11" t="str">
        <f t="shared" si="8"/>
        <v>z</v>
      </c>
      <c r="B277" s="7"/>
      <c r="C277" s="7"/>
      <c r="D277" s="7"/>
      <c r="E277" s="4"/>
      <c r="F277" s="9" t="e">
        <f t="shared" si="9"/>
        <v>#DIV/0!</v>
      </c>
      <c r="G277" s="7"/>
      <c r="H277" s="7"/>
      <c r="I277" s="7"/>
    </row>
    <row r="278" spans="1:9" x14ac:dyDescent="0.35">
      <c r="A278" s="11" t="str">
        <f t="shared" si="8"/>
        <v>z</v>
      </c>
      <c r="B278" s="7"/>
      <c r="C278" s="7"/>
      <c r="D278" s="7"/>
      <c r="E278" s="4"/>
      <c r="F278" s="9" t="e">
        <f t="shared" si="9"/>
        <v>#DIV/0!</v>
      </c>
      <c r="G278" s="7"/>
      <c r="H278" s="7"/>
      <c r="I278" s="7"/>
    </row>
    <row r="279" spans="1:9" x14ac:dyDescent="0.35">
      <c r="A279" s="11" t="str">
        <f t="shared" si="8"/>
        <v>z</v>
      </c>
      <c r="B279" s="7"/>
      <c r="C279" s="7"/>
      <c r="D279" s="7"/>
      <c r="E279" s="4"/>
      <c r="F279" s="9" t="e">
        <f t="shared" si="9"/>
        <v>#DIV/0!</v>
      </c>
      <c r="G279" s="7"/>
      <c r="H279" s="7"/>
      <c r="I279" s="7"/>
    </row>
    <row r="280" spans="1:9" x14ac:dyDescent="0.35">
      <c r="A280" s="11" t="str">
        <f t="shared" si="8"/>
        <v>z</v>
      </c>
      <c r="B280" s="7"/>
      <c r="C280" s="7"/>
      <c r="D280" s="7"/>
      <c r="E280" s="4"/>
      <c r="F280" s="9" t="e">
        <f t="shared" si="9"/>
        <v>#DIV/0!</v>
      </c>
      <c r="G280" s="7"/>
      <c r="H280" s="7"/>
      <c r="I280" s="7"/>
    </row>
    <row r="281" spans="1:9" x14ac:dyDescent="0.35">
      <c r="A281" s="11" t="str">
        <f t="shared" si="8"/>
        <v>z</v>
      </c>
      <c r="B281" s="7"/>
      <c r="C281" s="7"/>
      <c r="D281" s="7"/>
      <c r="E281" s="4"/>
      <c r="F281" s="9" t="e">
        <f t="shared" si="9"/>
        <v>#DIV/0!</v>
      </c>
      <c r="G281" s="7"/>
      <c r="H281" s="7"/>
      <c r="I281" s="7"/>
    </row>
    <row r="282" spans="1:9" x14ac:dyDescent="0.35">
      <c r="A282" s="11" t="str">
        <f t="shared" si="8"/>
        <v>z</v>
      </c>
      <c r="B282" s="7"/>
      <c r="C282" s="7"/>
      <c r="D282" s="7"/>
      <c r="E282" s="4"/>
      <c r="F282" s="9" t="e">
        <f t="shared" si="9"/>
        <v>#DIV/0!</v>
      </c>
      <c r="G282" s="7"/>
      <c r="H282" s="7"/>
      <c r="I282" s="7"/>
    </row>
    <row r="283" spans="1:9" x14ac:dyDescent="0.35">
      <c r="A283" s="11" t="str">
        <f t="shared" si="8"/>
        <v>z</v>
      </c>
      <c r="B283" s="7"/>
      <c r="C283" s="7"/>
      <c r="D283" s="7"/>
      <c r="E283" s="4"/>
      <c r="F283" s="9" t="e">
        <f t="shared" si="9"/>
        <v>#DIV/0!</v>
      </c>
      <c r="G283" s="7"/>
      <c r="H283" s="7"/>
      <c r="I283" s="7"/>
    </row>
    <row r="284" spans="1:9" x14ac:dyDescent="0.35">
      <c r="A284" s="11" t="str">
        <f t="shared" si="8"/>
        <v>z</v>
      </c>
      <c r="B284" s="7"/>
      <c r="C284" s="7"/>
      <c r="D284" s="7"/>
      <c r="E284" s="4"/>
      <c r="F284" s="9" t="e">
        <f t="shared" si="9"/>
        <v>#DIV/0!</v>
      </c>
      <c r="G284" s="7"/>
      <c r="H284" s="7"/>
      <c r="I284" s="7"/>
    </row>
    <row r="285" spans="1:9" x14ac:dyDescent="0.35">
      <c r="A285" s="11" t="str">
        <f t="shared" si="8"/>
        <v>z</v>
      </c>
      <c r="B285" s="7"/>
      <c r="C285" s="7"/>
      <c r="D285" s="7"/>
      <c r="E285" s="4"/>
      <c r="F285" s="9" t="e">
        <f t="shared" si="9"/>
        <v>#DIV/0!</v>
      </c>
      <c r="G285" s="7"/>
      <c r="H285" s="7"/>
      <c r="I285" s="7"/>
    </row>
    <row r="286" spans="1:9" x14ac:dyDescent="0.35">
      <c r="A286" s="11" t="str">
        <f t="shared" si="8"/>
        <v>z</v>
      </c>
      <c r="B286" s="7"/>
      <c r="C286" s="7"/>
      <c r="D286" s="7"/>
      <c r="E286" s="4"/>
      <c r="F286" s="9" t="e">
        <f t="shared" si="9"/>
        <v>#DIV/0!</v>
      </c>
      <c r="G286" s="7"/>
      <c r="H286" s="7"/>
      <c r="I286" s="7"/>
    </row>
    <row r="287" spans="1:9" x14ac:dyDescent="0.35">
      <c r="A287" s="11" t="str">
        <f t="shared" si="8"/>
        <v>z</v>
      </c>
      <c r="B287" s="7"/>
      <c r="C287" s="7"/>
      <c r="D287" s="7"/>
      <c r="E287" s="4"/>
      <c r="F287" s="9" t="e">
        <f t="shared" si="9"/>
        <v>#DIV/0!</v>
      </c>
      <c r="G287" s="7"/>
      <c r="H287" s="7"/>
      <c r="I287" s="7"/>
    </row>
    <row r="288" spans="1:9" x14ac:dyDescent="0.35">
      <c r="A288" s="11" t="str">
        <f t="shared" si="8"/>
        <v>z</v>
      </c>
      <c r="B288" s="7"/>
      <c r="C288" s="7"/>
      <c r="D288" s="7"/>
      <c r="E288" s="4"/>
      <c r="F288" s="9" t="e">
        <f t="shared" si="9"/>
        <v>#DIV/0!</v>
      </c>
      <c r="G288" s="7"/>
      <c r="H288" s="7"/>
      <c r="I288" s="7"/>
    </row>
    <row r="289" spans="1:9" x14ac:dyDescent="0.35">
      <c r="A289" s="11" t="str">
        <f t="shared" si="8"/>
        <v>z</v>
      </c>
      <c r="B289" s="7"/>
      <c r="C289" s="7"/>
      <c r="D289" s="7"/>
      <c r="E289" s="4"/>
      <c r="F289" s="9" t="e">
        <f t="shared" si="9"/>
        <v>#DIV/0!</v>
      </c>
      <c r="G289" s="7"/>
      <c r="H289" s="7"/>
      <c r="I289" s="7"/>
    </row>
    <row r="290" spans="1:9" x14ac:dyDescent="0.35">
      <c r="A290" s="11" t="str">
        <f t="shared" si="8"/>
        <v>z</v>
      </c>
      <c r="B290" s="7"/>
      <c r="C290" s="7"/>
      <c r="D290" s="7"/>
      <c r="E290" s="4"/>
      <c r="F290" s="9" t="e">
        <f t="shared" si="9"/>
        <v>#DIV/0!</v>
      </c>
      <c r="G290" s="7"/>
      <c r="H290" s="7"/>
      <c r="I290" s="7"/>
    </row>
    <row r="291" spans="1:9" x14ac:dyDescent="0.35">
      <c r="A291" s="11" t="str">
        <f t="shared" si="8"/>
        <v>z</v>
      </c>
      <c r="B291" s="7"/>
      <c r="C291" s="7"/>
      <c r="D291" s="7"/>
      <c r="E291" s="4"/>
      <c r="F291" s="9" t="e">
        <f t="shared" si="9"/>
        <v>#DIV/0!</v>
      </c>
      <c r="G291" s="7"/>
      <c r="H291" s="7"/>
      <c r="I291" s="7"/>
    </row>
    <row r="292" spans="1:9" x14ac:dyDescent="0.35">
      <c r="A292" s="11" t="str">
        <f t="shared" si="8"/>
        <v>z</v>
      </c>
      <c r="B292" s="7"/>
      <c r="C292" s="7"/>
      <c r="D292" s="7"/>
      <c r="E292" s="4"/>
      <c r="F292" s="9" t="e">
        <f t="shared" si="9"/>
        <v>#DIV/0!</v>
      </c>
      <c r="G292" s="7"/>
      <c r="H292" s="7"/>
      <c r="I292" s="7"/>
    </row>
    <row r="293" spans="1:9" x14ac:dyDescent="0.35">
      <c r="A293" s="11" t="str">
        <f t="shared" si="8"/>
        <v>z</v>
      </c>
      <c r="B293" s="7"/>
      <c r="C293" s="7"/>
      <c r="D293" s="7"/>
      <c r="E293" s="4"/>
      <c r="F293" s="9" t="e">
        <f t="shared" si="9"/>
        <v>#DIV/0!</v>
      </c>
      <c r="G293" s="7"/>
      <c r="H293" s="7"/>
      <c r="I293" s="7"/>
    </row>
    <row r="294" spans="1:9" x14ac:dyDescent="0.35">
      <c r="A294" s="11" t="str">
        <f t="shared" si="8"/>
        <v>z</v>
      </c>
      <c r="B294" s="7"/>
      <c r="C294" s="7"/>
      <c r="D294" s="7"/>
      <c r="E294" s="4"/>
      <c r="F294" s="9" t="e">
        <f t="shared" si="9"/>
        <v>#DIV/0!</v>
      </c>
      <c r="G294" s="7"/>
      <c r="H294" s="7"/>
      <c r="I294" s="7"/>
    </row>
    <row r="295" spans="1:9" x14ac:dyDescent="0.35">
      <c r="A295" s="11" t="str">
        <f t="shared" si="8"/>
        <v>z</v>
      </c>
      <c r="B295" s="7"/>
      <c r="C295" s="7"/>
      <c r="D295" s="7"/>
      <c r="E295" s="4"/>
      <c r="F295" s="9" t="e">
        <f t="shared" si="9"/>
        <v>#DIV/0!</v>
      </c>
      <c r="G295" s="7"/>
      <c r="H295" s="7"/>
      <c r="I295" s="7"/>
    </row>
    <row r="296" spans="1:9" x14ac:dyDescent="0.35">
      <c r="A296" s="11" t="str">
        <f t="shared" si="8"/>
        <v>z</v>
      </c>
      <c r="B296" s="7"/>
      <c r="C296" s="7"/>
      <c r="D296" s="7"/>
      <c r="E296" s="4"/>
      <c r="F296" s="9" t="e">
        <f t="shared" si="9"/>
        <v>#DIV/0!</v>
      </c>
      <c r="G296" s="7"/>
      <c r="H296" s="7"/>
      <c r="I296" s="7"/>
    </row>
    <row r="297" spans="1:9" x14ac:dyDescent="0.35">
      <c r="A297" s="11" t="str">
        <f t="shared" si="8"/>
        <v>z</v>
      </c>
      <c r="B297" s="7"/>
      <c r="C297" s="7"/>
      <c r="D297" s="7"/>
      <c r="E297" s="4"/>
      <c r="F297" s="9" t="e">
        <f t="shared" si="9"/>
        <v>#DIV/0!</v>
      </c>
      <c r="G297" s="7"/>
      <c r="H297" s="7"/>
      <c r="I297" s="7"/>
    </row>
    <row r="298" spans="1:9" x14ac:dyDescent="0.35">
      <c r="A298" s="11" t="str">
        <f t="shared" si="8"/>
        <v>z</v>
      </c>
      <c r="B298" s="7"/>
      <c r="C298" s="7"/>
      <c r="D298" s="7"/>
      <c r="E298" s="4"/>
      <c r="F298" s="9" t="e">
        <f t="shared" si="9"/>
        <v>#DIV/0!</v>
      </c>
      <c r="G298" s="7"/>
      <c r="H298" s="7"/>
      <c r="I298" s="7"/>
    </row>
    <row r="299" spans="1:9" x14ac:dyDescent="0.35">
      <c r="A299" s="11" t="str">
        <f t="shared" si="8"/>
        <v>z</v>
      </c>
      <c r="B299" s="7"/>
      <c r="C299" s="7"/>
      <c r="D299" s="7"/>
      <c r="E299" s="4"/>
      <c r="F299" s="9" t="e">
        <f t="shared" si="9"/>
        <v>#DIV/0!</v>
      </c>
      <c r="G299" s="7"/>
      <c r="H299" s="7"/>
      <c r="I299" s="7"/>
    </row>
    <row r="300" spans="1:9" x14ac:dyDescent="0.35">
      <c r="A300" s="11" t="str">
        <f t="shared" si="8"/>
        <v>z</v>
      </c>
      <c r="B300" s="7"/>
      <c r="C300" s="7"/>
      <c r="D300" s="7"/>
      <c r="E300" s="4"/>
      <c r="F300" s="9" t="e">
        <f t="shared" si="9"/>
        <v>#DIV/0!</v>
      </c>
      <c r="G300" s="7"/>
      <c r="H300" s="7"/>
      <c r="I300" s="7"/>
    </row>
    <row r="301" spans="1:9" x14ac:dyDescent="0.35">
      <c r="A301" s="11" t="str">
        <f t="shared" si="8"/>
        <v>z</v>
      </c>
      <c r="B301" s="7"/>
      <c r="C301" s="7"/>
      <c r="D301" s="7"/>
      <c r="E301" s="4"/>
      <c r="F301" s="9" t="e">
        <f t="shared" si="9"/>
        <v>#DIV/0!</v>
      </c>
      <c r="G301" s="7"/>
      <c r="H301" s="7"/>
      <c r="I301" s="7"/>
    </row>
    <row r="302" spans="1:9" x14ac:dyDescent="0.35">
      <c r="A302" s="11" t="str">
        <f t="shared" si="8"/>
        <v>z</v>
      </c>
      <c r="B302" s="7"/>
      <c r="C302" s="7"/>
      <c r="D302" s="7"/>
      <c r="E302" s="4"/>
      <c r="F302" s="9" t="e">
        <f t="shared" si="9"/>
        <v>#DIV/0!</v>
      </c>
      <c r="G302" s="7"/>
      <c r="H302" s="7"/>
      <c r="I302" s="7"/>
    </row>
    <row r="303" spans="1:9" x14ac:dyDescent="0.35">
      <c r="A303" s="11" t="str">
        <f t="shared" si="8"/>
        <v>z</v>
      </c>
      <c r="B303" s="7"/>
      <c r="C303" s="7"/>
      <c r="D303" s="7"/>
      <c r="E303" s="4"/>
      <c r="F303" s="9" t="e">
        <f t="shared" si="9"/>
        <v>#DIV/0!</v>
      </c>
      <c r="G303" s="7"/>
      <c r="H303" s="7"/>
      <c r="I303" s="7"/>
    </row>
    <row r="304" spans="1:9" x14ac:dyDescent="0.35">
      <c r="A304" s="11" t="str">
        <f t="shared" si="8"/>
        <v>z</v>
      </c>
      <c r="B304" s="7"/>
      <c r="C304" s="7"/>
      <c r="D304" s="7"/>
      <c r="E304" s="4"/>
      <c r="F304" s="9" t="e">
        <f t="shared" si="9"/>
        <v>#DIV/0!</v>
      </c>
      <c r="G304" s="7"/>
      <c r="H304" s="7"/>
      <c r="I304" s="7"/>
    </row>
    <row r="305" spans="1:9" x14ac:dyDescent="0.35">
      <c r="A305" s="11" t="str">
        <f t="shared" si="8"/>
        <v>z</v>
      </c>
      <c r="B305" s="7"/>
      <c r="C305" s="7"/>
      <c r="D305" s="7"/>
      <c r="E305" s="4"/>
      <c r="F305" s="9" t="e">
        <f t="shared" si="9"/>
        <v>#DIV/0!</v>
      </c>
      <c r="G305" s="7"/>
      <c r="H305" s="7"/>
      <c r="I305" s="7"/>
    </row>
    <row r="306" spans="1:9" x14ac:dyDescent="0.35">
      <c r="A306" s="11" t="str">
        <f t="shared" si="8"/>
        <v>z</v>
      </c>
      <c r="B306" s="7"/>
      <c r="C306" s="7"/>
      <c r="D306" s="7"/>
      <c r="E306" s="4"/>
      <c r="F306" s="9" t="e">
        <f t="shared" si="9"/>
        <v>#DIV/0!</v>
      </c>
      <c r="G306" s="7"/>
      <c r="H306" s="7"/>
      <c r="I306" s="7"/>
    </row>
    <row r="307" spans="1:9" x14ac:dyDescent="0.35">
      <c r="A307" s="11" t="str">
        <f t="shared" si="8"/>
        <v>z</v>
      </c>
      <c r="B307" s="7"/>
      <c r="C307" s="7"/>
      <c r="D307" s="7"/>
      <c r="E307" s="4"/>
      <c r="F307" s="9" t="e">
        <f t="shared" si="9"/>
        <v>#DIV/0!</v>
      </c>
      <c r="G307" s="7"/>
      <c r="H307" s="7"/>
      <c r="I307" s="7"/>
    </row>
    <row r="308" spans="1:9" x14ac:dyDescent="0.35">
      <c r="A308" s="11" t="str">
        <f t="shared" si="8"/>
        <v>z</v>
      </c>
      <c r="B308" s="7"/>
      <c r="C308" s="7"/>
      <c r="D308" s="7"/>
      <c r="E308" s="4"/>
      <c r="F308" s="9" t="e">
        <f t="shared" si="9"/>
        <v>#DIV/0!</v>
      </c>
      <c r="G308" s="7"/>
      <c r="H308" s="7"/>
      <c r="I308" s="7"/>
    </row>
    <row r="309" spans="1:9" x14ac:dyDescent="0.35">
      <c r="A309" s="11" t="str">
        <f t="shared" si="8"/>
        <v>z</v>
      </c>
      <c r="B309" s="7"/>
      <c r="C309" s="7"/>
      <c r="D309" s="7"/>
      <c r="E309" s="4"/>
      <c r="F309" s="9" t="e">
        <f t="shared" si="9"/>
        <v>#DIV/0!</v>
      </c>
      <c r="G309" s="7"/>
      <c r="H309" s="7"/>
      <c r="I309" s="7"/>
    </row>
    <row r="310" spans="1:9" x14ac:dyDescent="0.35">
      <c r="A310" s="11" t="str">
        <f t="shared" si="8"/>
        <v>z</v>
      </c>
      <c r="B310" s="7"/>
      <c r="C310" s="7"/>
      <c r="D310" s="7"/>
      <c r="E310" s="4"/>
      <c r="F310" s="9" t="e">
        <f t="shared" si="9"/>
        <v>#DIV/0!</v>
      </c>
      <c r="G310" s="7"/>
      <c r="H310" s="7"/>
      <c r="I310" s="7"/>
    </row>
    <row r="311" spans="1:9" x14ac:dyDescent="0.35">
      <c r="A311" s="11" t="str">
        <f t="shared" si="8"/>
        <v>z</v>
      </c>
      <c r="B311" s="7"/>
      <c r="C311" s="7"/>
      <c r="D311" s="7"/>
      <c r="E311" s="4"/>
      <c r="F311" s="9" t="e">
        <f t="shared" si="9"/>
        <v>#DIV/0!</v>
      </c>
      <c r="G311" s="7"/>
      <c r="H311" s="7"/>
      <c r="I311" s="7"/>
    </row>
    <row r="312" spans="1:9" x14ac:dyDescent="0.35">
      <c r="A312" s="11" t="str">
        <f t="shared" si="8"/>
        <v>z</v>
      </c>
      <c r="B312" s="7"/>
      <c r="C312" s="7"/>
      <c r="D312" s="7"/>
      <c r="E312" s="4"/>
      <c r="F312" s="9" t="e">
        <f t="shared" si="9"/>
        <v>#DIV/0!</v>
      </c>
      <c r="G312" s="7"/>
      <c r="H312" s="7"/>
      <c r="I312" s="7"/>
    </row>
    <row r="313" spans="1:9" x14ac:dyDescent="0.35">
      <c r="A313" s="11" t="str">
        <f t="shared" si="8"/>
        <v>z</v>
      </c>
      <c r="B313" s="7"/>
      <c r="C313" s="7"/>
      <c r="D313" s="7"/>
      <c r="E313" s="4"/>
      <c r="F313" s="9" t="e">
        <f t="shared" si="9"/>
        <v>#DIV/0!</v>
      </c>
      <c r="G313" s="7"/>
      <c r="H313" s="7"/>
      <c r="I313" s="7"/>
    </row>
    <row r="314" spans="1:9" x14ac:dyDescent="0.35">
      <c r="A314" s="11" t="str">
        <f t="shared" si="8"/>
        <v>z</v>
      </c>
      <c r="B314" s="7"/>
      <c r="C314" s="7"/>
      <c r="D314" s="7"/>
      <c r="E314" s="4"/>
      <c r="F314" s="9" t="e">
        <f t="shared" si="9"/>
        <v>#DIV/0!</v>
      </c>
      <c r="G314" s="7"/>
      <c r="H314" s="7"/>
      <c r="I314" s="7"/>
    </row>
    <row r="315" spans="1:9" x14ac:dyDescent="0.35">
      <c r="A315" s="11" t="str">
        <f t="shared" si="8"/>
        <v>z</v>
      </c>
      <c r="B315" s="7"/>
      <c r="C315" s="7"/>
      <c r="D315" s="7"/>
      <c r="E315" s="4"/>
      <c r="F315" s="9" t="e">
        <f t="shared" si="9"/>
        <v>#DIV/0!</v>
      </c>
      <c r="G315" s="7"/>
      <c r="H315" s="7"/>
      <c r="I315" s="7"/>
    </row>
    <row r="316" spans="1:9" x14ac:dyDescent="0.35">
      <c r="A316" s="11" t="str">
        <f t="shared" si="8"/>
        <v>z</v>
      </c>
      <c r="B316" s="7"/>
      <c r="C316" s="7"/>
      <c r="D316" s="7"/>
      <c r="E316" s="4"/>
      <c r="F316" s="9" t="e">
        <f t="shared" si="9"/>
        <v>#DIV/0!</v>
      </c>
      <c r="G316" s="7"/>
      <c r="H316" s="7"/>
      <c r="I316" s="7"/>
    </row>
    <row r="317" spans="1:9" x14ac:dyDescent="0.35">
      <c r="A317" s="11" t="str">
        <f t="shared" si="8"/>
        <v>z</v>
      </c>
      <c r="B317" s="7"/>
      <c r="C317" s="7"/>
      <c r="D317" s="7"/>
      <c r="E317" s="4"/>
      <c r="F317" s="9" t="e">
        <f t="shared" si="9"/>
        <v>#DIV/0!</v>
      </c>
      <c r="G317" s="7"/>
      <c r="H317" s="7"/>
      <c r="I317" s="7"/>
    </row>
    <row r="318" spans="1:9" x14ac:dyDescent="0.35">
      <c r="A318" s="11" t="str">
        <f t="shared" si="8"/>
        <v>z</v>
      </c>
      <c r="B318" s="7"/>
      <c r="C318" s="7"/>
      <c r="D318" s="7"/>
      <c r="E318" s="4"/>
      <c r="F318" s="9" t="e">
        <f t="shared" si="9"/>
        <v>#DIV/0!</v>
      </c>
      <c r="G318" s="7"/>
      <c r="H318" s="7"/>
      <c r="I318" s="7"/>
    </row>
    <row r="319" spans="1:9" x14ac:dyDescent="0.35">
      <c r="A319" s="11" t="str">
        <f t="shared" si="8"/>
        <v>z</v>
      </c>
      <c r="B319" s="7"/>
      <c r="C319" s="7"/>
      <c r="D319" s="7"/>
      <c r="E319" s="4"/>
      <c r="F319" s="9" t="e">
        <f t="shared" si="9"/>
        <v>#DIV/0!</v>
      </c>
      <c r="G319" s="7"/>
      <c r="H319" s="7"/>
      <c r="I319" s="7"/>
    </row>
    <row r="320" spans="1:9" x14ac:dyDescent="0.35">
      <c r="A320" s="11" t="str">
        <f t="shared" si="8"/>
        <v>z</v>
      </c>
      <c r="B320" s="7"/>
      <c r="C320" s="7"/>
      <c r="D320" s="7"/>
      <c r="E320" s="4"/>
      <c r="F320" s="9" t="e">
        <f t="shared" si="9"/>
        <v>#DIV/0!</v>
      </c>
      <c r="G320" s="7"/>
      <c r="H320" s="7"/>
      <c r="I320" s="7"/>
    </row>
    <row r="321" spans="1:9" x14ac:dyDescent="0.35">
      <c r="A321" s="11" t="str">
        <f t="shared" si="8"/>
        <v>z</v>
      </c>
      <c r="B321" s="7"/>
      <c r="C321" s="7"/>
      <c r="D321" s="7"/>
      <c r="E321" s="4"/>
      <c r="F321" s="9" t="e">
        <f t="shared" si="9"/>
        <v>#DIV/0!</v>
      </c>
      <c r="G321" s="7"/>
      <c r="H321" s="7"/>
      <c r="I321" s="7"/>
    </row>
    <row r="322" spans="1:9" x14ac:dyDescent="0.35">
      <c r="A322" s="11" t="str">
        <f t="shared" ref="A322:A364" si="10">IF(OR(C322="",I322=""),"z",C322&amp;" - "&amp;I322)</f>
        <v>z</v>
      </c>
      <c r="B322" s="7"/>
      <c r="C322" s="7"/>
      <c r="D322" s="7"/>
      <c r="E322" s="4"/>
      <c r="F322" s="9" t="e">
        <f t="shared" ref="F322:F364" si="11">D322/E322</f>
        <v>#DIV/0!</v>
      </c>
      <c r="G322" s="7"/>
      <c r="H322" s="7"/>
      <c r="I322" s="7"/>
    </row>
    <row r="323" spans="1:9" x14ac:dyDescent="0.35">
      <c r="A323" s="11" t="str">
        <f t="shared" si="10"/>
        <v>z</v>
      </c>
      <c r="B323" s="7"/>
      <c r="C323" s="7"/>
      <c r="D323" s="7"/>
      <c r="E323" s="4"/>
      <c r="F323" s="9" t="e">
        <f t="shared" si="11"/>
        <v>#DIV/0!</v>
      </c>
      <c r="G323" s="7"/>
      <c r="H323" s="7"/>
      <c r="I323" s="7"/>
    </row>
    <row r="324" spans="1:9" x14ac:dyDescent="0.35">
      <c r="A324" s="11" t="str">
        <f t="shared" si="10"/>
        <v>z</v>
      </c>
      <c r="B324" s="7"/>
      <c r="C324" s="7"/>
      <c r="D324" s="7"/>
      <c r="E324" s="4"/>
      <c r="F324" s="9" t="e">
        <f t="shared" si="11"/>
        <v>#DIV/0!</v>
      </c>
      <c r="G324" s="7"/>
      <c r="H324" s="7"/>
      <c r="I324" s="7"/>
    </row>
    <row r="325" spans="1:9" x14ac:dyDescent="0.35">
      <c r="A325" s="11" t="str">
        <f t="shared" si="10"/>
        <v>z</v>
      </c>
      <c r="B325" s="7"/>
      <c r="C325" s="7"/>
      <c r="D325" s="7"/>
      <c r="E325" s="4"/>
      <c r="F325" s="9" t="e">
        <f t="shared" si="11"/>
        <v>#DIV/0!</v>
      </c>
      <c r="G325" s="7"/>
      <c r="H325" s="7"/>
      <c r="I325" s="7"/>
    </row>
    <row r="326" spans="1:9" x14ac:dyDescent="0.35">
      <c r="A326" s="11" t="str">
        <f t="shared" si="10"/>
        <v>z</v>
      </c>
      <c r="B326" s="7"/>
      <c r="C326" s="7"/>
      <c r="D326" s="7"/>
      <c r="E326" s="4"/>
      <c r="F326" s="9" t="e">
        <f t="shared" si="11"/>
        <v>#DIV/0!</v>
      </c>
      <c r="G326" s="7"/>
      <c r="H326" s="7"/>
      <c r="I326" s="7"/>
    </row>
    <row r="327" spans="1:9" x14ac:dyDescent="0.35">
      <c r="A327" s="11" t="str">
        <f t="shared" si="10"/>
        <v>z</v>
      </c>
      <c r="B327" s="7"/>
      <c r="C327" s="7"/>
      <c r="D327" s="7"/>
      <c r="E327" s="4"/>
      <c r="F327" s="9" t="e">
        <f t="shared" si="11"/>
        <v>#DIV/0!</v>
      </c>
      <c r="G327" s="7"/>
      <c r="H327" s="7"/>
      <c r="I327" s="7"/>
    </row>
    <row r="328" spans="1:9" x14ac:dyDescent="0.35">
      <c r="A328" s="11" t="str">
        <f t="shared" si="10"/>
        <v>z</v>
      </c>
      <c r="B328" s="7"/>
      <c r="C328" s="7"/>
      <c r="D328" s="7"/>
      <c r="E328" s="4"/>
      <c r="F328" s="9" t="e">
        <f t="shared" si="11"/>
        <v>#DIV/0!</v>
      </c>
      <c r="G328" s="7"/>
      <c r="H328" s="7"/>
      <c r="I328" s="7"/>
    </row>
    <row r="329" spans="1:9" x14ac:dyDescent="0.35">
      <c r="A329" s="11" t="str">
        <f t="shared" si="10"/>
        <v>z</v>
      </c>
      <c r="B329" s="7"/>
      <c r="C329" s="7"/>
      <c r="D329" s="7"/>
      <c r="E329" s="4"/>
      <c r="F329" s="9" t="e">
        <f t="shared" si="11"/>
        <v>#DIV/0!</v>
      </c>
      <c r="G329" s="7"/>
      <c r="H329" s="7"/>
      <c r="I329" s="7"/>
    </row>
    <row r="330" spans="1:9" x14ac:dyDescent="0.35">
      <c r="A330" s="11" t="str">
        <f t="shared" si="10"/>
        <v>z</v>
      </c>
      <c r="B330" s="7"/>
      <c r="C330" s="7"/>
      <c r="D330" s="7"/>
      <c r="E330" s="4"/>
      <c r="F330" s="9" t="e">
        <f t="shared" si="11"/>
        <v>#DIV/0!</v>
      </c>
      <c r="G330" s="7"/>
      <c r="H330" s="7"/>
      <c r="I330" s="7"/>
    </row>
    <row r="331" spans="1:9" x14ac:dyDescent="0.35">
      <c r="A331" s="11" t="str">
        <f t="shared" si="10"/>
        <v>z</v>
      </c>
      <c r="B331" s="7"/>
      <c r="C331" s="7"/>
      <c r="D331" s="7"/>
      <c r="E331" s="4"/>
      <c r="F331" s="9" t="e">
        <f t="shared" si="11"/>
        <v>#DIV/0!</v>
      </c>
      <c r="G331" s="7"/>
      <c r="H331" s="7"/>
      <c r="I331" s="7"/>
    </row>
    <row r="332" spans="1:9" x14ac:dyDescent="0.35">
      <c r="A332" s="11" t="str">
        <f t="shared" si="10"/>
        <v>z</v>
      </c>
      <c r="B332" s="7"/>
      <c r="C332" s="7"/>
      <c r="D332" s="7"/>
      <c r="E332" s="4"/>
      <c r="F332" s="9" t="e">
        <f t="shared" si="11"/>
        <v>#DIV/0!</v>
      </c>
      <c r="G332" s="7"/>
      <c r="H332" s="7"/>
      <c r="I332" s="7"/>
    </row>
    <row r="333" spans="1:9" x14ac:dyDescent="0.35">
      <c r="A333" s="11" t="str">
        <f t="shared" si="10"/>
        <v>z</v>
      </c>
      <c r="B333" s="7"/>
      <c r="C333" s="7"/>
      <c r="D333" s="7"/>
      <c r="E333" s="4"/>
      <c r="F333" s="9" t="e">
        <f t="shared" si="11"/>
        <v>#DIV/0!</v>
      </c>
      <c r="G333" s="7"/>
      <c r="H333" s="7"/>
      <c r="I333" s="7"/>
    </row>
    <row r="334" spans="1:9" x14ac:dyDescent="0.35">
      <c r="A334" s="11" t="str">
        <f t="shared" si="10"/>
        <v>z</v>
      </c>
      <c r="B334" s="7"/>
      <c r="C334" s="7"/>
      <c r="D334" s="7"/>
      <c r="E334" s="4"/>
      <c r="F334" s="9" t="e">
        <f t="shared" si="11"/>
        <v>#DIV/0!</v>
      </c>
      <c r="G334" s="7"/>
      <c r="H334" s="7"/>
      <c r="I334" s="7"/>
    </row>
    <row r="335" spans="1:9" x14ac:dyDescent="0.35">
      <c r="A335" s="11" t="str">
        <f t="shared" si="10"/>
        <v>z</v>
      </c>
      <c r="B335" s="7"/>
      <c r="C335" s="7"/>
      <c r="D335" s="7"/>
      <c r="E335" s="4"/>
      <c r="F335" s="9" t="e">
        <f t="shared" si="11"/>
        <v>#DIV/0!</v>
      </c>
      <c r="G335" s="7"/>
      <c r="H335" s="7"/>
      <c r="I335" s="7"/>
    </row>
    <row r="336" spans="1:9" x14ac:dyDescent="0.35">
      <c r="A336" s="11" t="str">
        <f t="shared" si="10"/>
        <v>z</v>
      </c>
      <c r="B336" s="7"/>
      <c r="C336" s="7"/>
      <c r="D336" s="7"/>
      <c r="E336" s="4"/>
      <c r="F336" s="9" t="e">
        <f t="shared" si="11"/>
        <v>#DIV/0!</v>
      </c>
      <c r="G336" s="7"/>
      <c r="H336" s="7"/>
      <c r="I336" s="7"/>
    </row>
    <row r="337" spans="1:9" x14ac:dyDescent="0.35">
      <c r="A337" s="11" t="str">
        <f t="shared" si="10"/>
        <v>z</v>
      </c>
      <c r="B337" s="7"/>
      <c r="C337" s="7"/>
      <c r="D337" s="7"/>
      <c r="E337" s="4"/>
      <c r="F337" s="9" t="e">
        <f t="shared" si="11"/>
        <v>#DIV/0!</v>
      </c>
      <c r="G337" s="7"/>
      <c r="H337" s="7"/>
      <c r="I337" s="7"/>
    </row>
    <row r="338" spans="1:9" x14ac:dyDescent="0.35">
      <c r="A338" s="11" t="str">
        <f t="shared" si="10"/>
        <v>z</v>
      </c>
      <c r="B338" s="7"/>
      <c r="C338" s="7"/>
      <c r="D338" s="7"/>
      <c r="E338" s="4"/>
      <c r="F338" s="9" t="e">
        <f t="shared" si="11"/>
        <v>#DIV/0!</v>
      </c>
      <c r="G338" s="7"/>
      <c r="H338" s="7"/>
      <c r="I338" s="7"/>
    </row>
    <row r="339" spans="1:9" x14ac:dyDescent="0.35">
      <c r="A339" s="11" t="str">
        <f t="shared" si="10"/>
        <v>z</v>
      </c>
      <c r="B339" s="7"/>
      <c r="C339" s="7"/>
      <c r="D339" s="7"/>
      <c r="E339" s="4"/>
      <c r="F339" s="9" t="e">
        <f t="shared" si="11"/>
        <v>#DIV/0!</v>
      </c>
      <c r="G339" s="7"/>
      <c r="H339" s="7"/>
      <c r="I339" s="7"/>
    </row>
    <row r="340" spans="1:9" x14ac:dyDescent="0.35">
      <c r="A340" s="11" t="str">
        <f t="shared" si="10"/>
        <v>z</v>
      </c>
      <c r="B340" s="7"/>
      <c r="C340" s="7"/>
      <c r="D340" s="7"/>
      <c r="E340" s="4"/>
      <c r="F340" s="9" t="e">
        <f t="shared" si="11"/>
        <v>#DIV/0!</v>
      </c>
      <c r="G340" s="7"/>
      <c r="H340" s="7"/>
      <c r="I340" s="7"/>
    </row>
    <row r="341" spans="1:9" x14ac:dyDescent="0.35">
      <c r="A341" s="11" t="str">
        <f t="shared" si="10"/>
        <v>z</v>
      </c>
      <c r="B341" s="7"/>
      <c r="C341" s="7"/>
      <c r="D341" s="7"/>
      <c r="E341" s="4"/>
      <c r="F341" s="9" t="e">
        <f t="shared" si="11"/>
        <v>#DIV/0!</v>
      </c>
      <c r="G341" s="7"/>
      <c r="H341" s="7"/>
      <c r="I341" s="7"/>
    </row>
    <row r="342" spans="1:9" x14ac:dyDescent="0.35">
      <c r="A342" s="11" t="str">
        <f t="shared" si="10"/>
        <v>z</v>
      </c>
      <c r="B342" s="7"/>
      <c r="C342" s="7"/>
      <c r="D342" s="7"/>
      <c r="E342" s="4"/>
      <c r="F342" s="9" t="e">
        <f t="shared" si="11"/>
        <v>#DIV/0!</v>
      </c>
      <c r="G342" s="7"/>
      <c r="H342" s="7"/>
      <c r="I342" s="7"/>
    </row>
    <row r="343" spans="1:9" x14ac:dyDescent="0.35">
      <c r="A343" s="11" t="str">
        <f t="shared" si="10"/>
        <v>z</v>
      </c>
      <c r="B343" s="7"/>
      <c r="C343" s="7"/>
      <c r="D343" s="7"/>
      <c r="E343" s="4"/>
      <c r="F343" s="9" t="e">
        <f t="shared" si="11"/>
        <v>#DIV/0!</v>
      </c>
      <c r="G343" s="7"/>
      <c r="H343" s="7"/>
      <c r="I343" s="7"/>
    </row>
    <row r="344" spans="1:9" x14ac:dyDescent="0.35">
      <c r="A344" s="11" t="str">
        <f t="shared" si="10"/>
        <v>z</v>
      </c>
      <c r="B344" s="7"/>
      <c r="C344" s="7"/>
      <c r="D344" s="7"/>
      <c r="E344" s="4"/>
      <c r="F344" s="9" t="e">
        <f t="shared" si="11"/>
        <v>#DIV/0!</v>
      </c>
      <c r="G344" s="7"/>
      <c r="H344" s="7"/>
      <c r="I344" s="7"/>
    </row>
    <row r="345" spans="1:9" x14ac:dyDescent="0.35">
      <c r="A345" s="11" t="str">
        <f t="shared" si="10"/>
        <v>z</v>
      </c>
      <c r="B345" s="7"/>
      <c r="C345" s="7"/>
      <c r="D345" s="7"/>
      <c r="E345" s="4"/>
      <c r="F345" s="9" t="e">
        <f t="shared" si="11"/>
        <v>#DIV/0!</v>
      </c>
      <c r="G345" s="7"/>
      <c r="H345" s="7"/>
      <c r="I345" s="7"/>
    </row>
    <row r="346" spans="1:9" x14ac:dyDescent="0.35">
      <c r="A346" s="11" t="str">
        <f t="shared" si="10"/>
        <v>z</v>
      </c>
      <c r="B346" s="7"/>
      <c r="C346" s="7"/>
      <c r="D346" s="7"/>
      <c r="E346" s="4"/>
      <c r="F346" s="9" t="e">
        <f t="shared" si="11"/>
        <v>#DIV/0!</v>
      </c>
      <c r="G346" s="7"/>
      <c r="H346" s="7"/>
      <c r="I346" s="7"/>
    </row>
    <row r="347" spans="1:9" x14ac:dyDescent="0.35">
      <c r="A347" s="11" t="str">
        <f t="shared" si="10"/>
        <v>z</v>
      </c>
      <c r="B347" s="7"/>
      <c r="C347" s="7"/>
      <c r="D347" s="7"/>
      <c r="E347" s="4"/>
      <c r="F347" s="9" t="e">
        <f t="shared" si="11"/>
        <v>#DIV/0!</v>
      </c>
      <c r="G347" s="7"/>
      <c r="H347" s="7"/>
      <c r="I347" s="7"/>
    </row>
    <row r="348" spans="1:9" x14ac:dyDescent="0.35">
      <c r="A348" s="11" t="str">
        <f t="shared" si="10"/>
        <v>z</v>
      </c>
      <c r="B348" s="7"/>
      <c r="C348" s="7"/>
      <c r="D348" s="7"/>
      <c r="E348" s="4"/>
      <c r="F348" s="9" t="e">
        <f t="shared" si="11"/>
        <v>#DIV/0!</v>
      </c>
      <c r="G348" s="7"/>
      <c r="H348" s="7"/>
      <c r="I348" s="7"/>
    </row>
    <row r="349" spans="1:9" x14ac:dyDescent="0.35">
      <c r="A349" s="11" t="str">
        <f t="shared" si="10"/>
        <v>z</v>
      </c>
      <c r="B349" s="7"/>
      <c r="C349" s="7"/>
      <c r="D349" s="7"/>
      <c r="E349" s="4"/>
      <c r="F349" s="9" t="e">
        <f t="shared" si="11"/>
        <v>#DIV/0!</v>
      </c>
      <c r="G349" s="7"/>
      <c r="H349" s="7"/>
      <c r="I349" s="7"/>
    </row>
    <row r="350" spans="1:9" x14ac:dyDescent="0.35">
      <c r="A350" s="11" t="str">
        <f t="shared" si="10"/>
        <v>z</v>
      </c>
      <c r="B350" s="7"/>
      <c r="C350" s="7"/>
      <c r="D350" s="7"/>
      <c r="E350" s="4"/>
      <c r="F350" s="9" t="e">
        <f t="shared" si="11"/>
        <v>#DIV/0!</v>
      </c>
      <c r="G350" s="7"/>
      <c r="H350" s="7"/>
      <c r="I350" s="7"/>
    </row>
    <row r="351" spans="1:9" x14ac:dyDescent="0.35">
      <c r="A351" s="11" t="str">
        <f t="shared" si="10"/>
        <v>z</v>
      </c>
      <c r="B351" s="7"/>
      <c r="C351" s="7"/>
      <c r="D351" s="7"/>
      <c r="E351" s="4"/>
      <c r="F351" s="9" t="e">
        <f t="shared" si="11"/>
        <v>#DIV/0!</v>
      </c>
      <c r="G351" s="7"/>
      <c r="H351" s="7"/>
      <c r="I351" s="7"/>
    </row>
    <row r="352" spans="1:9" x14ac:dyDescent="0.35">
      <c r="A352" s="11" t="str">
        <f t="shared" si="10"/>
        <v>z</v>
      </c>
      <c r="B352" s="7"/>
      <c r="C352" s="7"/>
      <c r="D352" s="7"/>
      <c r="E352" s="4"/>
      <c r="F352" s="9" t="e">
        <f t="shared" si="11"/>
        <v>#DIV/0!</v>
      </c>
      <c r="G352" s="7"/>
      <c r="H352" s="7"/>
      <c r="I352" s="7"/>
    </row>
    <row r="353" spans="1:9" x14ac:dyDescent="0.35">
      <c r="A353" s="11" t="str">
        <f t="shared" si="10"/>
        <v>z</v>
      </c>
      <c r="B353" s="7"/>
      <c r="C353" s="7"/>
      <c r="D353" s="7"/>
      <c r="E353" s="4"/>
      <c r="F353" s="9" t="e">
        <f t="shared" si="11"/>
        <v>#DIV/0!</v>
      </c>
      <c r="G353" s="7"/>
      <c r="H353" s="7"/>
      <c r="I353" s="7"/>
    </row>
    <row r="354" spans="1:9" x14ac:dyDescent="0.35">
      <c r="A354" s="11" t="str">
        <f t="shared" si="10"/>
        <v>z</v>
      </c>
      <c r="B354" s="7"/>
      <c r="C354" s="7"/>
      <c r="D354" s="7"/>
      <c r="E354" s="4"/>
      <c r="F354" s="9" t="e">
        <f t="shared" si="11"/>
        <v>#DIV/0!</v>
      </c>
      <c r="G354" s="7"/>
      <c r="H354" s="7"/>
      <c r="I354" s="7"/>
    </row>
    <row r="355" spans="1:9" x14ac:dyDescent="0.35">
      <c r="A355" s="11" t="str">
        <f t="shared" si="10"/>
        <v>z</v>
      </c>
      <c r="B355" s="7"/>
      <c r="C355" s="7"/>
      <c r="D355" s="7"/>
      <c r="E355" s="4"/>
      <c r="F355" s="9" t="e">
        <f t="shared" si="11"/>
        <v>#DIV/0!</v>
      </c>
      <c r="G355" s="7"/>
      <c r="H355" s="7"/>
      <c r="I355" s="7"/>
    </row>
    <row r="356" spans="1:9" x14ac:dyDescent="0.35">
      <c r="A356" s="11" t="str">
        <f t="shared" si="10"/>
        <v>z</v>
      </c>
      <c r="B356" s="7"/>
      <c r="C356" s="7"/>
      <c r="D356" s="7"/>
      <c r="E356" s="4"/>
      <c r="F356" s="9" t="e">
        <f t="shared" si="11"/>
        <v>#DIV/0!</v>
      </c>
      <c r="G356" s="7"/>
      <c r="H356" s="7"/>
      <c r="I356" s="7"/>
    </row>
    <row r="357" spans="1:9" x14ac:dyDescent="0.35">
      <c r="A357" s="11" t="str">
        <f t="shared" si="10"/>
        <v>z</v>
      </c>
      <c r="B357" s="7"/>
      <c r="C357" s="7"/>
      <c r="D357" s="7"/>
      <c r="E357" s="4"/>
      <c r="F357" s="9" t="e">
        <f t="shared" si="11"/>
        <v>#DIV/0!</v>
      </c>
      <c r="G357" s="7"/>
      <c r="H357" s="7"/>
      <c r="I357" s="7"/>
    </row>
    <row r="358" spans="1:9" x14ac:dyDescent="0.35">
      <c r="A358" s="11" t="str">
        <f t="shared" si="10"/>
        <v>z</v>
      </c>
      <c r="B358" s="7"/>
      <c r="C358" s="7"/>
      <c r="D358" s="7"/>
      <c r="E358" s="4"/>
      <c r="F358" s="9" t="e">
        <f t="shared" si="11"/>
        <v>#DIV/0!</v>
      </c>
      <c r="G358" s="7"/>
      <c r="H358" s="7"/>
      <c r="I358" s="7"/>
    </row>
    <row r="359" spans="1:9" x14ac:dyDescent="0.35">
      <c r="A359" s="11" t="str">
        <f t="shared" si="10"/>
        <v>z</v>
      </c>
      <c r="B359" s="7"/>
      <c r="C359" s="7"/>
      <c r="D359" s="7"/>
      <c r="E359" s="4"/>
      <c r="F359" s="9" t="e">
        <f t="shared" si="11"/>
        <v>#DIV/0!</v>
      </c>
      <c r="G359" s="7"/>
      <c r="H359" s="7"/>
      <c r="I359" s="7"/>
    </row>
    <row r="360" spans="1:9" x14ac:dyDescent="0.35">
      <c r="A360" s="11" t="str">
        <f t="shared" si="10"/>
        <v>z</v>
      </c>
      <c r="B360" s="7"/>
      <c r="C360" s="7"/>
      <c r="D360" s="7"/>
      <c r="E360" s="4"/>
      <c r="F360" s="9" t="e">
        <f t="shared" si="11"/>
        <v>#DIV/0!</v>
      </c>
      <c r="G360" s="7"/>
      <c r="H360" s="7"/>
      <c r="I360" s="7"/>
    </row>
    <row r="361" spans="1:9" x14ac:dyDescent="0.35">
      <c r="A361" s="11" t="str">
        <f t="shared" si="10"/>
        <v>z</v>
      </c>
      <c r="B361" s="7"/>
      <c r="C361" s="7"/>
      <c r="D361" s="7"/>
      <c r="E361" s="4"/>
      <c r="F361" s="9" t="e">
        <f t="shared" si="11"/>
        <v>#DIV/0!</v>
      </c>
      <c r="G361" s="7"/>
      <c r="H361" s="7"/>
      <c r="I361" s="7"/>
    </row>
    <row r="362" spans="1:9" x14ac:dyDescent="0.35">
      <c r="A362" s="11" t="str">
        <f t="shared" si="10"/>
        <v>z</v>
      </c>
      <c r="B362" s="7"/>
      <c r="C362" s="7"/>
      <c r="D362" s="7"/>
      <c r="E362" s="4"/>
      <c r="F362" s="9" t="e">
        <f t="shared" si="11"/>
        <v>#DIV/0!</v>
      </c>
      <c r="G362" s="7"/>
      <c r="H362" s="7"/>
      <c r="I362" s="7"/>
    </row>
    <row r="363" spans="1:9" x14ac:dyDescent="0.35">
      <c r="A363" s="11" t="str">
        <f t="shared" si="10"/>
        <v>z</v>
      </c>
      <c r="B363" s="7"/>
      <c r="C363" s="7"/>
      <c r="D363" s="7"/>
      <c r="E363" s="4"/>
      <c r="F363" s="9" t="e">
        <f t="shared" si="11"/>
        <v>#DIV/0!</v>
      </c>
      <c r="G363" s="7"/>
      <c r="H363" s="7"/>
      <c r="I363" s="7"/>
    </row>
    <row r="364" spans="1:9" x14ac:dyDescent="0.35">
      <c r="A364" s="11" t="str">
        <f t="shared" si="10"/>
        <v>z</v>
      </c>
      <c r="B364" s="7"/>
      <c r="C364" s="7"/>
      <c r="D364" s="7"/>
      <c r="E364" s="4"/>
      <c r="F364" s="9" t="e">
        <f t="shared" si="11"/>
        <v>#DIV/0!</v>
      </c>
      <c r="G364" s="7"/>
      <c r="H364" s="7"/>
      <c r="I364" s="7"/>
    </row>
  </sheetData>
  <autoFilter ref="A1:I365">
    <sortState ref="A2:I364">
      <sortCondition ref="A1:A365"/>
    </sortState>
  </autoFilter>
  <sortState ref="B2:G46">
    <sortCondition ref="B2"/>
  </sortState>
  <pageMargins left="0.7" right="0.7" top="0.75" bottom="0.75" header="0.3" footer="0.3"/>
  <pageSetup paperSize="9" orientation="portrait" horizontalDpi="4294967293" verticalDpi="0"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08"/>
  <sheetViews>
    <sheetView workbookViewId="0">
      <selection activeCell="B13" sqref="B13"/>
    </sheetView>
  </sheetViews>
  <sheetFormatPr baseColWidth="10" defaultRowHeight="14.5" x14ac:dyDescent="0.35"/>
  <cols>
    <col min="1" max="1" width="35.1796875" bestFit="1" customWidth="1"/>
    <col min="2" max="2" width="14.6328125" bestFit="1" customWidth="1"/>
    <col min="3" max="3" width="13.1796875" bestFit="1" customWidth="1"/>
    <col min="4" max="4" width="14.36328125" bestFit="1" customWidth="1"/>
    <col min="6" max="6" width="9.453125" customWidth="1"/>
    <col min="7" max="7" width="8.81640625" customWidth="1"/>
    <col min="11" max="11" width="12.6328125" bestFit="1" customWidth="1"/>
  </cols>
  <sheetData>
    <row r="1" spans="1:8" x14ac:dyDescent="0.35">
      <c r="A1" s="43" t="s">
        <v>54</v>
      </c>
      <c r="B1" s="44"/>
      <c r="C1" s="44"/>
      <c r="D1" s="44"/>
      <c r="E1" s="44"/>
      <c r="F1" s="44"/>
      <c r="G1" s="44"/>
      <c r="H1" s="63"/>
    </row>
    <row r="2" spans="1:8" s="38" customFormat="1" x14ac:dyDescent="0.35">
      <c r="A2" s="73"/>
      <c r="B2" s="74"/>
      <c r="C2" s="74"/>
      <c r="D2" s="74"/>
      <c r="E2" s="74"/>
      <c r="F2" s="74"/>
      <c r="G2" s="74"/>
    </row>
    <row r="3" spans="1:8" s="38" customFormat="1" x14ac:dyDescent="0.35">
      <c r="A3" s="68" t="s">
        <v>276</v>
      </c>
      <c r="B3" s="75"/>
      <c r="C3" s="75"/>
      <c r="D3" s="75"/>
      <c r="E3" s="67"/>
      <c r="F3" s="67"/>
      <c r="G3" s="67"/>
      <c r="H3" s="67"/>
    </row>
    <row r="5" spans="1:8" x14ac:dyDescent="0.35">
      <c r="A5" s="2" t="s">
        <v>68</v>
      </c>
      <c r="B5" s="2" t="s">
        <v>41</v>
      </c>
      <c r="C5" s="2" t="s">
        <v>42</v>
      </c>
      <c r="D5" s="2" t="s">
        <v>40</v>
      </c>
    </row>
    <row r="6" spans="1:8" x14ac:dyDescent="0.35">
      <c r="A6" s="7" t="s">
        <v>103</v>
      </c>
      <c r="B6" s="6">
        <v>0.61399999999999999</v>
      </c>
      <c r="C6" s="31">
        <f t="shared" ref="C6:C16" si="0">IF(ISERROR(VLOOKUP(A6,Tableau_produits,6,FALSE)),0,VLOOKUP(A6,Tableau_produits,6,FALSE))</f>
        <v>17.915309446254071</v>
      </c>
      <c r="D6" s="32">
        <f>C6*B6</f>
        <v>11</v>
      </c>
    </row>
    <row r="7" spans="1:8" x14ac:dyDescent="0.35">
      <c r="A7" s="7" t="s">
        <v>105</v>
      </c>
      <c r="B7" s="6">
        <v>0.56599999999999995</v>
      </c>
      <c r="C7" s="31">
        <f t="shared" si="0"/>
        <v>3.1006493506493507</v>
      </c>
      <c r="D7" s="32">
        <f>C7*B7</f>
        <v>1.7549675324675322</v>
      </c>
    </row>
    <row r="8" spans="1:8" x14ac:dyDescent="0.35">
      <c r="A8" s="7" t="s">
        <v>106</v>
      </c>
      <c r="B8" s="6">
        <v>0.17</v>
      </c>
      <c r="C8" s="31">
        <f t="shared" si="0"/>
        <v>8</v>
      </c>
      <c r="D8" s="32">
        <f t="shared" ref="D8:D16" si="1">C8*B8</f>
        <v>1.36</v>
      </c>
    </row>
    <row r="9" spans="1:8" x14ac:dyDescent="0.35">
      <c r="A9" s="7" t="s">
        <v>516</v>
      </c>
      <c r="B9" s="6">
        <v>0.17</v>
      </c>
      <c r="C9" s="31">
        <f t="shared" ref="C9" si="2">IF(ISERROR(VLOOKUP(A9,Tableau_produits,6,FALSE)),0,VLOOKUP(A9,Tableau_produits,6,FALSE))</f>
        <v>3.2584269662921348</v>
      </c>
      <c r="D9" s="32">
        <f t="shared" ref="D9" si="3">C9*B9</f>
        <v>0.55393258426966296</v>
      </c>
    </row>
    <row r="10" spans="1:8" x14ac:dyDescent="0.35">
      <c r="A10" s="7" t="s">
        <v>108</v>
      </c>
      <c r="B10" s="22">
        <v>0.08</v>
      </c>
      <c r="C10" s="31">
        <f t="shared" si="0"/>
        <v>7.8533333333333326</v>
      </c>
      <c r="D10" s="32">
        <f t="shared" si="1"/>
        <v>0.62826666666666664</v>
      </c>
    </row>
    <row r="11" spans="1:8" x14ac:dyDescent="0.35">
      <c r="A11" s="7" t="s">
        <v>109</v>
      </c>
      <c r="B11" s="22">
        <v>0.02</v>
      </c>
      <c r="C11" s="31">
        <f t="shared" si="0"/>
        <v>9.56</v>
      </c>
      <c r="D11" s="32">
        <f t="shared" si="1"/>
        <v>0.19120000000000001</v>
      </c>
    </row>
    <row r="12" spans="1:8" x14ac:dyDescent="0.35">
      <c r="A12" s="7" t="s">
        <v>110</v>
      </c>
      <c r="B12" s="21">
        <v>0.01</v>
      </c>
      <c r="C12" s="31">
        <f t="shared" si="0"/>
        <v>0</v>
      </c>
      <c r="D12" s="33">
        <f t="shared" si="1"/>
        <v>0</v>
      </c>
    </row>
    <row r="13" spans="1:8" x14ac:dyDescent="0.35">
      <c r="A13" s="7" t="s">
        <v>136</v>
      </c>
      <c r="B13" s="10">
        <f>0.0005</f>
        <v>5.0000000000000001E-4</v>
      </c>
      <c r="C13" s="31">
        <f t="shared" ref="C13" si="4">IF(ISERROR(VLOOKUP(A13,Tableau_produits,6,FALSE)),0,VLOOKUP(A13,Tableau_produits,6,FALSE))</f>
        <v>94.199999999999989</v>
      </c>
      <c r="D13" s="33">
        <f t="shared" ref="D13" si="5">C13*B13</f>
        <v>4.7099999999999996E-2</v>
      </c>
    </row>
    <row r="14" spans="1:8" x14ac:dyDescent="0.35">
      <c r="A14" s="7" t="s">
        <v>111</v>
      </c>
      <c r="B14" s="21">
        <v>1E-3</v>
      </c>
      <c r="C14" s="31">
        <f t="shared" si="0"/>
        <v>4.9800000000000004</v>
      </c>
      <c r="D14" s="33">
        <f>C14*B14</f>
        <v>4.9800000000000009E-3</v>
      </c>
    </row>
    <row r="15" spans="1:8" x14ac:dyDescent="0.35">
      <c r="A15" s="7" t="s">
        <v>112</v>
      </c>
      <c r="B15" s="21">
        <v>2E-3</v>
      </c>
      <c r="C15" s="31">
        <f t="shared" si="0"/>
        <v>56.000000000000007</v>
      </c>
      <c r="D15" s="33">
        <f t="shared" si="1"/>
        <v>0.11200000000000002</v>
      </c>
    </row>
    <row r="16" spans="1:8" x14ac:dyDescent="0.35">
      <c r="A16" s="7" t="s">
        <v>113</v>
      </c>
      <c r="B16" s="21">
        <v>1</v>
      </c>
      <c r="C16" s="31">
        <f t="shared" si="0"/>
        <v>1.996</v>
      </c>
      <c r="D16" s="33">
        <f t="shared" si="1"/>
        <v>1.996</v>
      </c>
    </row>
    <row r="17" spans="1:10" x14ac:dyDescent="0.35">
      <c r="A17" s="13" t="s">
        <v>48</v>
      </c>
      <c r="B17" s="13"/>
      <c r="C17" s="13"/>
      <c r="D17" s="34">
        <f>SUM(D6:D16)</f>
        <v>17.648446783403863</v>
      </c>
    </row>
    <row r="18" spans="1:10" x14ac:dyDescent="0.35">
      <c r="A18" s="34" t="str">
        <f>"Coût par portion ("&amp;ROUND(C21*1000,0)&amp;"g)"</f>
        <v>Coût par portion (400g)</v>
      </c>
      <c r="B18" s="13"/>
      <c r="C18" s="13"/>
      <c r="D18" s="34">
        <f>IF(E21=0,0,D17/E21)</f>
        <v>2.5212066833434088</v>
      </c>
    </row>
    <row r="20" spans="1:10" ht="43.5" x14ac:dyDescent="0.35">
      <c r="A20" s="2" t="s">
        <v>90</v>
      </c>
      <c r="B20" s="28" t="s">
        <v>91</v>
      </c>
      <c r="C20" s="28" t="s">
        <v>94</v>
      </c>
      <c r="D20" s="28" t="s">
        <v>92</v>
      </c>
      <c r="E20" s="28" t="s">
        <v>95</v>
      </c>
    </row>
    <row r="21" spans="1:10" x14ac:dyDescent="0.35">
      <c r="A21" s="7" t="s">
        <v>93</v>
      </c>
      <c r="B21" s="7">
        <v>2.8370000000000002</v>
      </c>
      <c r="C21" s="7">
        <v>0.4</v>
      </c>
      <c r="D21" s="30">
        <f>IF(C21=0,0,B21/C21)</f>
        <v>7.0925000000000002</v>
      </c>
      <c r="E21" s="35">
        <f>TRUNC(D21)</f>
        <v>7</v>
      </c>
    </row>
    <row r="22" spans="1:10" s="38" customFormat="1" x14ac:dyDescent="0.35">
      <c r="A22" s="60"/>
      <c r="B22" s="60"/>
      <c r="C22" s="60"/>
      <c r="D22" s="64"/>
      <c r="E22" s="60"/>
    </row>
    <row r="23" spans="1:10" s="38" customFormat="1" x14ac:dyDescent="0.35">
      <c r="A23" s="71" t="s">
        <v>277</v>
      </c>
      <c r="B23" s="69"/>
      <c r="C23" s="81"/>
      <c r="D23" s="70"/>
      <c r="E23" s="69"/>
      <c r="F23" s="67"/>
      <c r="G23" s="67"/>
      <c r="H23" s="67"/>
    </row>
    <row r="24" spans="1:10" s="38" customFormat="1" x14ac:dyDescent="0.35">
      <c r="A24" s="60"/>
      <c r="B24" s="60"/>
      <c r="C24" s="60"/>
      <c r="D24" s="64"/>
      <c r="E24" s="60"/>
    </row>
    <row r="25" spans="1:10" s="38" customFormat="1" x14ac:dyDescent="0.35">
      <c r="A25" s="16" t="s">
        <v>273</v>
      </c>
      <c r="B25" s="2" t="s">
        <v>267</v>
      </c>
      <c r="C25" s="2" t="s">
        <v>268</v>
      </c>
      <c r="D25" s="2" t="s">
        <v>269</v>
      </c>
      <c r="E25" s="60"/>
    </row>
    <row r="26" spans="1:10" s="38" customFormat="1" x14ac:dyDescent="0.35">
      <c r="A26" s="7" t="s">
        <v>278</v>
      </c>
      <c r="B26" s="78">
        <v>8</v>
      </c>
      <c r="C26" s="24">
        <f>D18</f>
        <v>2.5212066833434088</v>
      </c>
      <c r="D26" s="35">
        <f>C26*B26</f>
        <v>20.16965346674727</v>
      </c>
      <c r="E26" s="60"/>
    </row>
    <row r="27" spans="1:10" s="38" customFormat="1" x14ac:dyDescent="0.35">
      <c r="A27" s="7" t="s">
        <v>279</v>
      </c>
      <c r="B27" s="79">
        <v>4</v>
      </c>
      <c r="C27" s="24">
        <f>C26</f>
        <v>2.5212066833434088</v>
      </c>
      <c r="D27" s="35">
        <f>C27*B27</f>
        <v>10.084826733373635</v>
      </c>
      <c r="E27" s="60"/>
    </row>
    <row r="28" spans="1:10" s="38" customFormat="1" x14ac:dyDescent="0.35">
      <c r="A28" s="7" t="s">
        <v>280</v>
      </c>
      <c r="B28" s="72">
        <f>B26-B27</f>
        <v>4</v>
      </c>
      <c r="C28" s="66">
        <f>(D28/B28)*90%</f>
        <v>4.5381720300181358</v>
      </c>
      <c r="D28" s="35">
        <f>D26</f>
        <v>20.16965346674727</v>
      </c>
      <c r="E28" s="60"/>
      <c r="F28" s="83"/>
    </row>
    <row r="30" spans="1:10" x14ac:dyDescent="0.35">
      <c r="A30" s="16" t="s">
        <v>275</v>
      </c>
      <c r="B30" s="50" t="s">
        <v>235</v>
      </c>
      <c r="C30" s="2">
        <v>1</v>
      </c>
      <c r="D30" s="2">
        <v>2</v>
      </c>
      <c r="E30" s="2">
        <v>3</v>
      </c>
      <c r="F30" s="2">
        <v>4</v>
      </c>
      <c r="G30" s="23">
        <v>5</v>
      </c>
      <c r="H30" s="23">
        <v>6</v>
      </c>
      <c r="I30" s="23">
        <v>7</v>
      </c>
      <c r="J30" s="23">
        <v>8</v>
      </c>
    </row>
    <row r="31" spans="1:10" x14ac:dyDescent="0.35">
      <c r="A31" s="17" t="s">
        <v>51</v>
      </c>
      <c r="B31" s="53"/>
      <c r="C31" s="24">
        <f>$C$28*C30</f>
        <v>4.5381720300181358</v>
      </c>
      <c r="D31" s="24">
        <f t="shared" ref="D31:J31" si="6">$C$28*D30</f>
        <v>9.0763440600362717</v>
      </c>
      <c r="E31" s="24">
        <f t="shared" si="6"/>
        <v>13.614516090054408</v>
      </c>
      <c r="F31" s="24">
        <f t="shared" si="6"/>
        <v>18.152688120072543</v>
      </c>
      <c r="G31" s="24">
        <f t="shared" si="6"/>
        <v>22.690860150090678</v>
      </c>
      <c r="H31" s="24">
        <f t="shared" si="6"/>
        <v>27.229032180108817</v>
      </c>
      <c r="I31" s="24">
        <f t="shared" si="6"/>
        <v>31.767204210126952</v>
      </c>
      <c r="J31" s="24">
        <f t="shared" si="6"/>
        <v>36.305376240145087</v>
      </c>
    </row>
    <row r="32" spans="1:10" x14ac:dyDescent="0.35">
      <c r="A32" s="16" t="s">
        <v>391</v>
      </c>
      <c r="B32" s="54">
        <f>1</f>
        <v>1</v>
      </c>
      <c r="C32" s="24">
        <f>(($C$31+$B$32)+$C$53)*C30</f>
        <v>5.7764260615940879</v>
      </c>
      <c r="D32" s="24">
        <f t="shared" ref="D32:J32" si="7">(($C$31+$B$32)+$C$53)*D30</f>
        <v>11.552852123188176</v>
      </c>
      <c r="E32" s="24">
        <f t="shared" si="7"/>
        <v>17.329278184782265</v>
      </c>
      <c r="F32" s="24">
        <f t="shared" si="7"/>
        <v>23.105704246376352</v>
      </c>
      <c r="G32" s="24">
        <f t="shared" si="7"/>
        <v>28.882130307970439</v>
      </c>
      <c r="H32" s="24">
        <f t="shared" si="7"/>
        <v>34.658556369564529</v>
      </c>
      <c r="I32" s="24">
        <f t="shared" si="7"/>
        <v>40.434982431158616</v>
      </c>
      <c r="J32" s="24">
        <f t="shared" si="7"/>
        <v>46.211408492752703</v>
      </c>
    </row>
    <row r="33" spans="1:12" x14ac:dyDescent="0.35">
      <c r="A33" s="55" t="s">
        <v>380</v>
      </c>
      <c r="B33" s="56"/>
      <c r="C33" s="34">
        <f>C32+(C32*5.5%)</f>
        <v>6.0941294949817628</v>
      </c>
      <c r="D33" s="34">
        <f t="shared" ref="D33:J33" si="8">D32+(D32*5.5%)</f>
        <v>12.188258989963526</v>
      </c>
      <c r="E33" s="34">
        <f t="shared" si="8"/>
        <v>18.28238848494529</v>
      </c>
      <c r="F33" s="34">
        <f t="shared" si="8"/>
        <v>24.376517979927051</v>
      </c>
      <c r="G33" s="34">
        <f t="shared" si="8"/>
        <v>30.470647474908812</v>
      </c>
      <c r="H33" s="34">
        <f t="shared" si="8"/>
        <v>36.56477696989058</v>
      </c>
      <c r="I33" s="34">
        <f t="shared" si="8"/>
        <v>42.658906464872338</v>
      </c>
      <c r="J33" s="34">
        <f t="shared" si="8"/>
        <v>48.753035959854103</v>
      </c>
    </row>
    <row r="34" spans="1:12" s="38" customFormat="1" x14ac:dyDescent="0.35">
      <c r="A34" s="49" t="s">
        <v>233</v>
      </c>
      <c r="B34" s="49"/>
      <c r="C34" s="15"/>
      <c r="D34" s="15"/>
      <c r="E34" s="15"/>
      <c r="F34" s="15"/>
      <c r="G34" s="15"/>
      <c r="H34" s="15"/>
      <c r="I34" s="15"/>
      <c r="J34" s="15"/>
      <c r="K34" s="15"/>
      <c r="L34" s="15"/>
    </row>
    <row r="35" spans="1:12" x14ac:dyDescent="0.35">
      <c r="A35" s="15"/>
      <c r="B35" s="15"/>
      <c r="C35" s="14"/>
      <c r="D35" s="14"/>
      <c r="E35" s="14"/>
      <c r="F35" s="14"/>
    </row>
    <row r="36" spans="1:12" x14ac:dyDescent="0.35">
      <c r="A36" s="16" t="s">
        <v>49</v>
      </c>
      <c r="B36" s="51"/>
      <c r="C36" s="18">
        <v>1</v>
      </c>
      <c r="D36" s="18">
        <v>2</v>
      </c>
      <c r="E36" s="18">
        <v>3</v>
      </c>
      <c r="F36" s="18">
        <v>4</v>
      </c>
      <c r="G36" s="25">
        <v>5</v>
      </c>
      <c r="H36" s="25">
        <v>6</v>
      </c>
      <c r="I36" s="25">
        <v>7</v>
      </c>
      <c r="J36" s="25">
        <v>8</v>
      </c>
    </row>
    <row r="37" spans="1:12" x14ac:dyDescent="0.35">
      <c r="A37" s="17" t="s">
        <v>52</v>
      </c>
      <c r="B37" s="52"/>
      <c r="C37" s="24">
        <f>C31-($C$26*C30)</f>
        <v>2.016965346674727</v>
      </c>
      <c r="D37" s="24">
        <f t="shared" ref="D37:H37" si="9">D31-($C$26*D30)</f>
        <v>4.0339306933494541</v>
      </c>
      <c r="E37" s="24">
        <f t="shared" si="9"/>
        <v>6.050896040024182</v>
      </c>
      <c r="F37" s="24">
        <f t="shared" si="9"/>
        <v>8.0678613866989082</v>
      </c>
      <c r="G37" s="24">
        <f t="shared" si="9"/>
        <v>10.084826733373635</v>
      </c>
      <c r="H37" s="24">
        <f t="shared" si="9"/>
        <v>12.101792080048364</v>
      </c>
      <c r="I37" s="24">
        <f t="shared" ref="I37:J37" si="10">I31-($C$26*I30)</f>
        <v>14.118757426723089</v>
      </c>
      <c r="J37" s="24">
        <f t="shared" si="10"/>
        <v>16.135722773397816</v>
      </c>
    </row>
    <row r="38" spans="1:12" x14ac:dyDescent="0.35">
      <c r="A38" s="17" t="s">
        <v>53</v>
      </c>
      <c r="B38" s="52"/>
      <c r="C38" s="24">
        <f>C32-C31</f>
        <v>1.238254031575952</v>
      </c>
      <c r="D38" s="24">
        <f t="shared" ref="D38:H38" si="11">D32-D31</f>
        <v>2.4765080631519041</v>
      </c>
      <c r="E38" s="24">
        <f t="shared" si="11"/>
        <v>3.7147620947278561</v>
      </c>
      <c r="F38" s="24">
        <f t="shared" si="11"/>
        <v>4.9530161263038082</v>
      </c>
      <c r="G38" s="24">
        <f t="shared" si="11"/>
        <v>6.1912701578797602</v>
      </c>
      <c r="H38" s="24">
        <f t="shared" si="11"/>
        <v>7.4295241894557122</v>
      </c>
      <c r="I38" s="24">
        <f t="shared" ref="I38:J38" si="12">I32-I31</f>
        <v>8.6677782210316643</v>
      </c>
      <c r="J38" s="24">
        <f t="shared" si="12"/>
        <v>9.9060322526076163</v>
      </c>
    </row>
    <row r="39" spans="1:12" x14ac:dyDescent="0.35">
      <c r="A39" s="49" t="s">
        <v>234</v>
      </c>
    </row>
    <row r="41" spans="1:12" x14ac:dyDescent="0.35">
      <c r="A41" s="2" t="s">
        <v>236</v>
      </c>
      <c r="B41" s="56"/>
      <c r="C41" s="47">
        <v>1</v>
      </c>
      <c r="D41" s="47">
        <v>2</v>
      </c>
      <c r="E41" s="47">
        <v>3</v>
      </c>
      <c r="F41" s="47">
        <v>4</v>
      </c>
      <c r="G41" s="48">
        <v>5</v>
      </c>
      <c r="H41" s="48">
        <v>6</v>
      </c>
      <c r="I41" s="48">
        <v>7</v>
      </c>
      <c r="J41" s="48">
        <v>8</v>
      </c>
    </row>
    <row r="42" spans="1:12" x14ac:dyDescent="0.35">
      <c r="A42" s="7" t="s">
        <v>238</v>
      </c>
      <c r="B42" s="56"/>
      <c r="C42" s="59">
        <f>IF($D$26=0,0,(C31)/$D$26)</f>
        <v>0.22500000000000001</v>
      </c>
      <c r="D42" s="59">
        <f t="shared" ref="D42:H42" si="13">IF($D$26=0,0,(D31)/$D$26)</f>
        <v>0.45</v>
      </c>
      <c r="E42" s="59">
        <f t="shared" si="13"/>
        <v>0.67500000000000004</v>
      </c>
      <c r="F42" s="59">
        <f t="shared" si="13"/>
        <v>0.9</v>
      </c>
      <c r="G42" s="59">
        <f t="shared" si="13"/>
        <v>1.125</v>
      </c>
      <c r="H42" s="59">
        <f t="shared" si="13"/>
        <v>1.35</v>
      </c>
      <c r="I42" s="59">
        <f t="shared" ref="I42:J42" si="14">IF($D$26=0,0,(I31)/$D$26)</f>
        <v>1.575</v>
      </c>
      <c r="J42" s="59">
        <f t="shared" si="14"/>
        <v>1.8</v>
      </c>
    </row>
    <row r="43" spans="1:12" x14ac:dyDescent="0.35">
      <c r="A43" s="7" t="s">
        <v>237</v>
      </c>
      <c r="B43" s="56"/>
      <c r="C43" s="24">
        <f>C38</f>
        <v>1.238254031575952</v>
      </c>
      <c r="D43" s="24">
        <f t="shared" ref="D43:H43" si="15">D38</f>
        <v>2.4765080631519041</v>
      </c>
      <c r="E43" s="24">
        <f t="shared" si="15"/>
        <v>3.7147620947278561</v>
      </c>
      <c r="F43" s="24">
        <f t="shared" si="15"/>
        <v>4.9530161263038082</v>
      </c>
      <c r="G43" s="24">
        <f t="shared" si="15"/>
        <v>6.1912701578797602</v>
      </c>
      <c r="H43" s="24">
        <f t="shared" si="15"/>
        <v>7.4295241894557122</v>
      </c>
      <c r="I43" s="24">
        <f t="shared" ref="I43:J43" si="16">I38</f>
        <v>8.6677782210316643</v>
      </c>
      <c r="J43" s="24">
        <f t="shared" si="16"/>
        <v>9.9060322526076163</v>
      </c>
    </row>
    <row r="44" spans="1:12" s="38" customFormat="1" x14ac:dyDescent="0.35">
      <c r="A44" s="60"/>
      <c r="B44" s="57"/>
      <c r="C44" s="15"/>
      <c r="D44" s="15"/>
      <c r="E44" s="15"/>
      <c r="F44" s="15"/>
      <c r="G44" s="15"/>
      <c r="H44" s="15"/>
    </row>
    <row r="45" spans="1:12" s="60" customFormat="1" x14ac:dyDescent="0.35">
      <c r="A45" s="71" t="s">
        <v>384</v>
      </c>
      <c r="B45" s="76"/>
      <c r="C45" s="111"/>
      <c r="D45" s="111"/>
      <c r="E45" s="111"/>
      <c r="F45" s="111"/>
      <c r="G45" s="111"/>
      <c r="H45" s="111"/>
      <c r="I45" s="111"/>
      <c r="J45" s="111"/>
    </row>
    <row r="46" spans="1:12" s="60" customFormat="1" x14ac:dyDescent="0.35">
      <c r="B46" s="57"/>
      <c r="C46" s="15"/>
      <c r="D46" s="15"/>
      <c r="E46" s="15"/>
      <c r="F46" s="15"/>
      <c r="G46" s="15"/>
      <c r="H46" s="15"/>
      <c r="I46" s="15"/>
      <c r="J46" s="15"/>
    </row>
    <row r="47" spans="1:12" s="60" customFormat="1" ht="43.5" x14ac:dyDescent="0.35">
      <c r="A47" s="109" t="s">
        <v>385</v>
      </c>
      <c r="B47" s="112">
        <v>0.15</v>
      </c>
      <c r="C47" s="48">
        <v>1</v>
      </c>
      <c r="D47" s="48">
        <v>2</v>
      </c>
      <c r="E47" s="48">
        <v>3</v>
      </c>
      <c r="F47" s="48">
        <v>4</v>
      </c>
      <c r="G47" s="48">
        <v>5</v>
      </c>
      <c r="H47" s="48">
        <v>6</v>
      </c>
      <c r="I47" s="48">
        <v>7</v>
      </c>
      <c r="J47" s="48">
        <v>8</v>
      </c>
    </row>
    <row r="48" spans="1:12" s="60" customFormat="1" x14ac:dyDescent="0.35">
      <c r="A48" s="11" t="s">
        <v>382</v>
      </c>
      <c r="B48" s="110"/>
      <c r="C48" s="24">
        <f>($C$26-$C$26*5.5%)*C47</f>
        <v>2.3825403157595213</v>
      </c>
      <c r="D48" s="24">
        <f>($C$26-$C$26*5.5%)*D47</f>
        <v>4.7650806315190426</v>
      </c>
      <c r="E48" s="24">
        <f t="shared" ref="E48:J48" si="17">($C$26-$C$26*5.5%)*E47</f>
        <v>7.1476209472785639</v>
      </c>
      <c r="F48" s="24">
        <f t="shared" si="17"/>
        <v>9.5301612630380852</v>
      </c>
      <c r="G48" s="24">
        <f t="shared" si="17"/>
        <v>11.912701578797606</v>
      </c>
      <c r="H48" s="24">
        <f t="shared" si="17"/>
        <v>14.295241894557128</v>
      </c>
      <c r="I48" s="24">
        <f t="shared" si="17"/>
        <v>16.67778221031665</v>
      </c>
      <c r="J48" s="24">
        <f t="shared" si="17"/>
        <v>19.06032252607617</v>
      </c>
    </row>
    <row r="49" spans="1:10" s="60" customFormat="1" x14ac:dyDescent="0.35">
      <c r="A49" s="11" t="s">
        <v>281</v>
      </c>
      <c r="B49" s="16"/>
      <c r="C49" s="115">
        <f>C48*$B$47</f>
        <v>0.35738104736392817</v>
      </c>
      <c r="D49" s="115">
        <f t="shared" ref="D49:J49" si="18">D48*$B$47</f>
        <v>0.71476209472785635</v>
      </c>
      <c r="E49" s="115">
        <f t="shared" si="18"/>
        <v>1.0721431420917846</v>
      </c>
      <c r="F49" s="115">
        <f t="shared" si="18"/>
        <v>1.4295241894557127</v>
      </c>
      <c r="G49" s="115">
        <f t="shared" si="18"/>
        <v>1.7869052368196408</v>
      </c>
      <c r="H49" s="115">
        <f t="shared" si="18"/>
        <v>2.1442862841835693</v>
      </c>
      <c r="I49" s="115">
        <f t="shared" si="18"/>
        <v>2.5016673315474973</v>
      </c>
      <c r="J49" s="115">
        <f t="shared" si="18"/>
        <v>2.8590483789114254</v>
      </c>
    </row>
    <row r="50" spans="1:10" s="60" customFormat="1" x14ac:dyDescent="0.35">
      <c r="B50" s="57"/>
      <c r="C50" s="114"/>
      <c r="D50" s="114"/>
      <c r="E50" s="114"/>
      <c r="F50" s="114"/>
      <c r="G50" s="114"/>
      <c r="H50" s="114"/>
      <c r="I50" s="114"/>
      <c r="J50" s="114"/>
    </row>
    <row r="51" spans="1:10" s="60" customFormat="1" ht="43.5" x14ac:dyDescent="0.35">
      <c r="A51" s="109" t="s">
        <v>394</v>
      </c>
      <c r="B51" s="112">
        <v>0.1</v>
      </c>
      <c r="C51" s="48">
        <v>1</v>
      </c>
      <c r="D51" s="48">
        <v>2</v>
      </c>
      <c r="E51" s="48">
        <v>3</v>
      </c>
      <c r="F51" s="48">
        <v>4</v>
      </c>
      <c r="G51" s="48">
        <v>5</v>
      </c>
      <c r="H51" s="48">
        <v>6</v>
      </c>
      <c r="I51" s="48">
        <v>7</v>
      </c>
      <c r="J51" s="48">
        <v>8</v>
      </c>
    </row>
    <row r="52" spans="1:10" s="60" customFormat="1" x14ac:dyDescent="0.35">
      <c r="A52" s="11" t="s">
        <v>382</v>
      </c>
      <c r="B52" s="16"/>
      <c r="C52" s="24">
        <f>($C$26-$C$26*5.5%)*C51</f>
        <v>2.3825403157595213</v>
      </c>
      <c r="D52" s="24">
        <f t="shared" ref="D52:J52" si="19">($C$26-$C$26*5.5%)*D51</f>
        <v>4.7650806315190426</v>
      </c>
      <c r="E52" s="24">
        <f t="shared" si="19"/>
        <v>7.1476209472785639</v>
      </c>
      <c r="F52" s="24">
        <f t="shared" si="19"/>
        <v>9.5301612630380852</v>
      </c>
      <c r="G52" s="24">
        <f t="shared" si="19"/>
        <v>11.912701578797606</v>
      </c>
      <c r="H52" s="24">
        <f t="shared" si="19"/>
        <v>14.295241894557128</v>
      </c>
      <c r="I52" s="24">
        <f t="shared" si="19"/>
        <v>16.67778221031665</v>
      </c>
      <c r="J52" s="24">
        <f t="shared" si="19"/>
        <v>19.06032252607617</v>
      </c>
    </row>
    <row r="53" spans="1:10" s="60" customFormat="1" x14ac:dyDescent="0.35">
      <c r="A53" s="11" t="s">
        <v>386</v>
      </c>
      <c r="B53" s="16"/>
      <c r="C53" s="113">
        <f>C52*$B$51</f>
        <v>0.23825403157595215</v>
      </c>
      <c r="D53" s="113">
        <f t="shared" ref="D53:J53" si="20">D52*$B$51</f>
        <v>0.4765080631519043</v>
      </c>
      <c r="E53" s="113">
        <f t="shared" si="20"/>
        <v>0.71476209472785646</v>
      </c>
      <c r="F53" s="113">
        <f t="shared" si="20"/>
        <v>0.95301612630380861</v>
      </c>
      <c r="G53" s="113">
        <f t="shared" si="20"/>
        <v>1.1912701578797606</v>
      </c>
      <c r="H53" s="113">
        <f t="shared" si="20"/>
        <v>1.4295241894557129</v>
      </c>
      <c r="I53" s="113">
        <f t="shared" si="20"/>
        <v>1.6677782210316652</v>
      </c>
      <c r="J53" s="113">
        <f t="shared" si="20"/>
        <v>1.9060322526076172</v>
      </c>
    </row>
    <row r="54" spans="1:10" s="60" customFormat="1" x14ac:dyDescent="0.35">
      <c r="A54" s="11" t="s">
        <v>387</v>
      </c>
      <c r="B54" s="16"/>
      <c r="C54" s="113">
        <f>C43-C53</f>
        <v>0.99999999999999989</v>
      </c>
      <c r="D54" s="113">
        <f t="shared" ref="D54:J54" si="21">D43-D53</f>
        <v>1.9999999999999998</v>
      </c>
      <c r="E54" s="113">
        <f t="shared" si="21"/>
        <v>2.9999999999999996</v>
      </c>
      <c r="F54" s="113">
        <f t="shared" si="21"/>
        <v>3.9999999999999996</v>
      </c>
      <c r="G54" s="113">
        <f t="shared" si="21"/>
        <v>5</v>
      </c>
      <c r="H54" s="113">
        <f t="shared" si="21"/>
        <v>5.9999999999999991</v>
      </c>
      <c r="I54" s="113">
        <f t="shared" si="21"/>
        <v>6.9999999999999991</v>
      </c>
      <c r="J54" s="113">
        <f t="shared" si="21"/>
        <v>7.9999999999999991</v>
      </c>
    </row>
    <row r="56" spans="1:10" x14ac:dyDescent="0.35">
      <c r="A56" s="68" t="s">
        <v>416</v>
      </c>
      <c r="B56" s="67"/>
      <c r="C56" s="67"/>
      <c r="D56" s="67"/>
      <c r="E56" s="67"/>
      <c r="F56" s="67"/>
      <c r="G56" s="67"/>
      <c r="H56" s="67"/>
      <c r="I56" s="67"/>
      <c r="J56" s="67"/>
    </row>
    <row r="58" spans="1:10" x14ac:dyDescent="0.35">
      <c r="A58" s="117" t="s">
        <v>389</v>
      </c>
      <c r="B58" s="118"/>
    </row>
    <row r="59" spans="1:10" x14ac:dyDescent="0.35">
      <c r="A59" s="116" t="s">
        <v>393</v>
      </c>
      <c r="B59" s="119">
        <f>J49</f>
        <v>2.8590483789114254</v>
      </c>
    </row>
    <row r="60" spans="1:10" x14ac:dyDescent="0.35">
      <c r="A60" s="42" t="s">
        <v>392</v>
      </c>
      <c r="B60" s="91">
        <f>F43</f>
        <v>4.9530161263038082</v>
      </c>
    </row>
    <row r="61" spans="1:10" x14ac:dyDescent="0.35">
      <c r="A61" s="120" t="s">
        <v>48</v>
      </c>
      <c r="B61" s="13">
        <f>SUM(B59:B60)</f>
        <v>7.8120645052152335</v>
      </c>
    </row>
    <row r="63" spans="1:10" x14ac:dyDescent="0.35">
      <c r="A63" s="117" t="s">
        <v>390</v>
      </c>
      <c r="B63" s="118"/>
    </row>
    <row r="64" spans="1:10" x14ac:dyDescent="0.35">
      <c r="A64" s="116" t="s">
        <v>393</v>
      </c>
      <c r="B64" s="119">
        <f>J49</f>
        <v>2.8590483789114254</v>
      </c>
    </row>
    <row r="65" spans="1:10" x14ac:dyDescent="0.35">
      <c r="A65" s="42" t="s">
        <v>392</v>
      </c>
      <c r="B65" s="91">
        <f>F54</f>
        <v>3.9999999999999996</v>
      </c>
    </row>
    <row r="66" spans="1:10" x14ac:dyDescent="0.35">
      <c r="A66" s="120" t="s">
        <v>48</v>
      </c>
      <c r="B66" s="13">
        <f>SUM(B64:B65)</f>
        <v>6.8590483789114245</v>
      </c>
    </row>
    <row r="67" spans="1:10" s="38" customFormat="1" x14ac:dyDescent="0.35">
      <c r="A67" s="60"/>
      <c r="B67" s="57"/>
      <c r="C67" s="15"/>
      <c r="D67" s="15"/>
      <c r="E67" s="15"/>
      <c r="F67" s="15"/>
      <c r="G67" s="15"/>
      <c r="H67" s="15"/>
    </row>
    <row r="68" spans="1:10" x14ac:dyDescent="0.35">
      <c r="A68" s="68" t="s">
        <v>422</v>
      </c>
      <c r="B68" s="67"/>
      <c r="C68" s="67"/>
      <c r="D68" s="67"/>
      <c r="E68" s="67"/>
      <c r="F68" s="67"/>
      <c r="G68" s="67"/>
      <c r="H68" s="67"/>
      <c r="I68" s="67"/>
      <c r="J68" s="67"/>
    </row>
    <row r="70" spans="1:10" x14ac:dyDescent="0.35">
      <c r="A70" s="117" t="s">
        <v>389</v>
      </c>
      <c r="B70" s="118"/>
    </row>
    <row r="71" spans="1:10" x14ac:dyDescent="0.35">
      <c r="A71" s="42" t="s">
        <v>405</v>
      </c>
      <c r="B71" s="91">
        <f>D26</f>
        <v>20.16965346674727</v>
      </c>
    </row>
    <row r="72" spans="1:10" x14ac:dyDescent="0.35">
      <c r="A72" s="116" t="s">
        <v>393</v>
      </c>
      <c r="B72" s="119">
        <f>0-J49</f>
        <v>-2.8590483789114254</v>
      </c>
    </row>
    <row r="73" spans="1:10" x14ac:dyDescent="0.35">
      <c r="A73" s="120" t="s">
        <v>48</v>
      </c>
      <c r="B73" s="13">
        <f>SUM(B71:B72)</f>
        <v>17.310605087835846</v>
      </c>
    </row>
    <row r="75" spans="1:10" x14ac:dyDescent="0.35">
      <c r="A75" s="133" t="s">
        <v>390</v>
      </c>
      <c r="B75" s="134"/>
    </row>
    <row r="76" spans="1:10" x14ac:dyDescent="0.35">
      <c r="A76" s="42" t="s">
        <v>405</v>
      </c>
      <c r="B76" s="91">
        <f>D26</f>
        <v>20.16965346674727</v>
      </c>
    </row>
    <row r="77" spans="1:10" x14ac:dyDescent="0.35">
      <c r="A77" s="42" t="s">
        <v>393</v>
      </c>
      <c r="B77" s="91">
        <f>0-J49</f>
        <v>-2.8590483789114254</v>
      </c>
    </row>
    <row r="78" spans="1:10" x14ac:dyDescent="0.35">
      <c r="A78" s="42" t="s">
        <v>406</v>
      </c>
      <c r="B78" s="91">
        <f>F53</f>
        <v>0.95301612630380861</v>
      </c>
    </row>
    <row r="79" spans="1:10" x14ac:dyDescent="0.35">
      <c r="A79" s="120" t="s">
        <v>48</v>
      </c>
      <c r="B79" s="13">
        <f>SUM(B76:B78)</f>
        <v>18.263621214139654</v>
      </c>
    </row>
    <row r="80" spans="1:10" s="38" customFormat="1" x14ac:dyDescent="0.35">
      <c r="A80" s="60"/>
      <c r="B80" s="57"/>
      <c r="C80" s="15"/>
      <c r="D80" s="15"/>
      <c r="E80" s="15"/>
      <c r="F80" s="15"/>
      <c r="G80" s="15"/>
      <c r="H80" s="15"/>
    </row>
    <row r="81" spans="1:8" s="38" customFormat="1" x14ac:dyDescent="0.35">
      <c r="A81" s="60"/>
      <c r="B81" s="57"/>
      <c r="C81" s="15"/>
      <c r="D81" s="15"/>
      <c r="E81" s="15"/>
      <c r="F81" s="15"/>
      <c r="G81" s="15"/>
      <c r="H81" s="15"/>
    </row>
    <row r="82" spans="1:8" x14ac:dyDescent="0.35">
      <c r="A82" s="29" t="s">
        <v>96</v>
      </c>
      <c r="B82" s="29"/>
    </row>
    <row r="84" spans="1:8" x14ac:dyDescent="0.35">
      <c r="A84" s="2" t="s">
        <v>67</v>
      </c>
      <c r="B84" s="7"/>
    </row>
    <row r="85" spans="1:8" x14ac:dyDescent="0.35">
      <c r="A85" s="7" t="s">
        <v>116</v>
      </c>
      <c r="B85" s="7">
        <v>20</v>
      </c>
    </row>
    <row r="86" spans="1:8" x14ac:dyDescent="0.35">
      <c r="A86" s="7" t="s">
        <v>140</v>
      </c>
      <c r="B86" s="7">
        <v>120</v>
      </c>
    </row>
    <row r="88" spans="1:8" x14ac:dyDescent="0.35">
      <c r="A88" s="39" t="s">
        <v>115</v>
      </c>
      <c r="B88" s="40"/>
    </row>
    <row r="90" spans="1:8" x14ac:dyDescent="0.35">
      <c r="A90" t="s">
        <v>117</v>
      </c>
    </row>
    <row r="91" spans="1:8" x14ac:dyDescent="0.35">
      <c r="A91" t="s">
        <v>118</v>
      </c>
    </row>
    <row r="92" spans="1:8" x14ac:dyDescent="0.35">
      <c r="A92" t="s">
        <v>119</v>
      </c>
    </row>
    <row r="93" spans="1:8" x14ac:dyDescent="0.35">
      <c r="A93" t="s">
        <v>120</v>
      </c>
    </row>
    <row r="94" spans="1:8" x14ac:dyDescent="0.35">
      <c r="A94" t="s">
        <v>121</v>
      </c>
    </row>
    <row r="95" spans="1:8" x14ac:dyDescent="0.35">
      <c r="A95" t="s">
        <v>122</v>
      </c>
    </row>
    <row r="96" spans="1:8" x14ac:dyDescent="0.35">
      <c r="A96" t="s">
        <v>123</v>
      </c>
    </row>
    <row r="97" spans="1:12" x14ac:dyDescent="0.35">
      <c r="A97" t="s">
        <v>124</v>
      </c>
    </row>
    <row r="98" spans="1:12" x14ac:dyDescent="0.35">
      <c r="A98" t="s">
        <v>125</v>
      </c>
    </row>
    <row r="100" spans="1:12" x14ac:dyDescent="0.35">
      <c r="A100" t="s">
        <v>126</v>
      </c>
    </row>
    <row r="102" spans="1:12" x14ac:dyDescent="0.35">
      <c r="A102" t="s">
        <v>127</v>
      </c>
    </row>
    <row r="103" spans="1:12" x14ac:dyDescent="0.35">
      <c r="A103" t="s">
        <v>128</v>
      </c>
    </row>
    <row r="105" spans="1:12" x14ac:dyDescent="0.35">
      <c r="A105" s="1" t="s">
        <v>129</v>
      </c>
    </row>
    <row r="107" spans="1:12" x14ac:dyDescent="0.35">
      <c r="A107" t="s">
        <v>130</v>
      </c>
    </row>
    <row r="108" spans="1:12" ht="33" customHeight="1" x14ac:dyDescent="0.35">
      <c r="A108" s="155" t="s">
        <v>131</v>
      </c>
      <c r="B108" s="155"/>
      <c r="C108" s="155"/>
      <c r="D108" s="155"/>
      <c r="E108" s="155"/>
      <c r="F108" s="155"/>
      <c r="G108" s="155"/>
      <c r="H108" s="155"/>
      <c r="I108" s="155"/>
      <c r="J108" s="155"/>
      <c r="K108" s="155"/>
      <c r="L108" s="155"/>
    </row>
  </sheetData>
  <mergeCells count="1">
    <mergeCell ref="A108:L108"/>
  </mergeCells>
  <phoneticPr fontId="5" type="noConversion"/>
  <conditionalFormatting sqref="C42:J42">
    <cfRule type="cellIs" dxfId="136" priority="11" operator="greaterThanOrEqual">
      <formula>1</formula>
    </cfRule>
    <cfRule type="cellIs" dxfId="135" priority="12" operator="between">
      <formula>0.5</formula>
      <formula>1</formula>
    </cfRule>
  </conditionalFormatting>
  <conditionalFormatting sqref="C43:H44 I43:J43 C67:H67 C80:H81">
    <cfRule type="cellIs" dxfId="134" priority="9" operator="greaterThanOrEqual">
      <formula>4</formula>
    </cfRule>
    <cfRule type="cellIs" dxfId="133" priority="10" operator="greaterThanOrEqual">
      <formula>2</formula>
    </cfRule>
  </conditionalFormatting>
  <conditionalFormatting sqref="C53:J53">
    <cfRule type="cellIs" dxfId="132" priority="4" operator="greaterThanOrEqual">
      <formula>$J$49</formula>
    </cfRule>
  </conditionalFormatting>
  <conditionalFormatting sqref="C54:J54">
    <cfRule type="cellIs" dxfId="131" priority="2" operator="between">
      <formula>2</formula>
      <formula>4</formula>
    </cfRule>
    <cfRule type="cellIs" dxfId="130" priority="3" operator="greaterThanOrEqual">
      <formula>4</formula>
    </cfRule>
  </conditionalFormatting>
  <conditionalFormatting sqref="C49:J49">
    <cfRule type="cellIs" dxfId="129" priority="1" operator="greaterThanOrEqual">
      <formula>0.5</formula>
    </cfRule>
  </conditionalFormatting>
  <dataValidations count="1">
    <dataValidation type="list" allowBlank="1" showInputMessage="1" showErrorMessage="1" sqref="F6 A6:A16">
      <formula1>Ingrédients_recettes</formula1>
    </dataValidation>
  </dataValidations>
  <pageMargins left="0.7" right="0.7" top="0.75" bottom="0.75" header="0.3" footer="0.3"/>
  <pageSetup paperSize="9" scale="50" orientation="portrait" horizontalDpi="4294967293" verticalDpi="4294967293"/>
  <extLst>
    <ext xmlns:mx="http://schemas.microsoft.com/office/mac/excel/2008/main" uri="{64002731-A6B0-56B0-2670-7721B7C09600}">
      <mx:PLV Mode="0" OnePage="0" WScale="10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96"/>
  <sheetViews>
    <sheetView topLeftCell="A10" workbookViewId="0">
      <selection activeCell="B14" sqref="B14"/>
    </sheetView>
  </sheetViews>
  <sheetFormatPr baseColWidth="10" defaultRowHeight="14.5" x14ac:dyDescent="0.35"/>
  <cols>
    <col min="1" max="1" width="34.1796875" customWidth="1"/>
    <col min="2" max="2" width="14.6328125" bestFit="1" customWidth="1"/>
    <col min="3" max="3" width="13.1796875" bestFit="1" customWidth="1"/>
    <col min="4" max="4" width="14.36328125" bestFit="1" customWidth="1"/>
    <col min="5" max="5" width="10.1796875" bestFit="1" customWidth="1"/>
    <col min="6" max="6" width="12" customWidth="1"/>
    <col min="7" max="7" width="9.81640625" customWidth="1"/>
    <col min="8" max="8" width="10.90625" customWidth="1"/>
  </cols>
  <sheetData>
    <row r="1" spans="1:9" x14ac:dyDescent="0.35">
      <c r="A1" s="103" t="s">
        <v>527</v>
      </c>
      <c r="B1" s="104"/>
      <c r="C1" s="104"/>
      <c r="D1" s="104"/>
      <c r="E1" s="104"/>
      <c r="F1" s="104"/>
      <c r="G1" s="104"/>
      <c r="H1" s="63"/>
    </row>
    <row r="2" spans="1:9" s="38" customFormat="1" x14ac:dyDescent="0.35">
      <c r="A2" s="73"/>
      <c r="B2" s="74"/>
      <c r="C2" s="74"/>
      <c r="D2" s="74"/>
      <c r="E2" s="74"/>
      <c r="F2" s="74"/>
      <c r="G2" s="74"/>
    </row>
    <row r="3" spans="1:9" s="38" customFormat="1" x14ac:dyDescent="0.35">
      <c r="A3" s="68" t="s">
        <v>276</v>
      </c>
      <c r="B3" s="75"/>
      <c r="C3" s="75"/>
      <c r="D3" s="75"/>
      <c r="E3" s="75"/>
      <c r="F3" s="75"/>
      <c r="G3" s="75"/>
      <c r="H3" s="67"/>
    </row>
    <row r="5" spans="1:9" x14ac:dyDescent="0.35">
      <c r="A5" s="2" t="s">
        <v>68</v>
      </c>
      <c r="B5" s="2" t="s">
        <v>41</v>
      </c>
      <c r="C5" s="2" t="s">
        <v>42</v>
      </c>
      <c r="D5" s="2" t="s">
        <v>40</v>
      </c>
    </row>
    <row r="6" spans="1:9" x14ac:dyDescent="0.35">
      <c r="A6" s="7" t="s">
        <v>108</v>
      </c>
      <c r="B6" s="4">
        <v>0.03</v>
      </c>
      <c r="C6" s="31">
        <f t="shared" ref="C6:C16" si="0">IF(ISERROR(VLOOKUP(A6,Tableau_produits,6,FALSE)),0,VLOOKUP(A6,Tableau_produits,6,FALSE))</f>
        <v>7.8533333333333326</v>
      </c>
      <c r="D6" s="32">
        <f>C6*B6</f>
        <v>0.23559999999999998</v>
      </c>
      <c r="E6" s="88"/>
      <c r="I6" s="89"/>
    </row>
    <row r="7" spans="1:9" x14ac:dyDescent="0.35">
      <c r="A7" s="7" t="s">
        <v>535</v>
      </c>
      <c r="B7" s="4">
        <f>0.018*3</f>
        <v>5.3999999999999992E-2</v>
      </c>
      <c r="C7" s="31">
        <f t="shared" si="0"/>
        <v>19.799999999999997</v>
      </c>
      <c r="D7" s="32">
        <f>C7*B7</f>
        <v>1.0691999999999997</v>
      </c>
      <c r="I7" s="89"/>
    </row>
    <row r="8" spans="1:9" x14ac:dyDescent="0.35">
      <c r="A8" s="7" t="s">
        <v>133</v>
      </c>
      <c r="B8" s="4">
        <v>3.0000000000000001E-3</v>
      </c>
      <c r="C8" s="31">
        <f t="shared" si="0"/>
        <v>6.8</v>
      </c>
      <c r="D8" s="32">
        <f t="shared" ref="D8:D16" si="1">C8*B8</f>
        <v>2.0400000000000001E-2</v>
      </c>
      <c r="I8" s="89"/>
    </row>
    <row r="9" spans="1:9" x14ac:dyDescent="0.35">
      <c r="A9" s="7" t="s">
        <v>529</v>
      </c>
      <c r="B9" s="4">
        <v>0.25</v>
      </c>
      <c r="C9" s="31">
        <f t="shared" si="0"/>
        <v>6.92</v>
      </c>
      <c r="D9" s="32">
        <f t="shared" si="1"/>
        <v>1.73</v>
      </c>
      <c r="I9" s="89"/>
    </row>
    <row r="10" spans="1:9" x14ac:dyDescent="0.35">
      <c r="A10" s="7" t="s">
        <v>530</v>
      </c>
      <c r="B10" s="86">
        <v>0.2</v>
      </c>
      <c r="C10" s="31">
        <f t="shared" si="0"/>
        <v>6.5</v>
      </c>
      <c r="D10" s="32">
        <f t="shared" si="1"/>
        <v>1.3</v>
      </c>
      <c r="I10" s="40"/>
    </row>
    <row r="11" spans="1:9" x14ac:dyDescent="0.35">
      <c r="A11" s="7" t="s">
        <v>531</v>
      </c>
      <c r="B11" s="86">
        <v>1.4999999999999999E-2</v>
      </c>
      <c r="C11" s="31">
        <f t="shared" si="0"/>
        <v>41</v>
      </c>
      <c r="D11" s="32">
        <f t="shared" si="1"/>
        <v>0.61499999999999999</v>
      </c>
    </row>
    <row r="12" spans="1:9" x14ac:dyDescent="0.35">
      <c r="A12" s="7" t="s">
        <v>452</v>
      </c>
      <c r="B12" s="10">
        <v>0.02</v>
      </c>
      <c r="C12" s="31">
        <f t="shared" si="0"/>
        <v>24.833333333333336</v>
      </c>
      <c r="D12" s="33">
        <f t="shared" si="1"/>
        <v>0.4966666666666667</v>
      </c>
    </row>
    <row r="13" spans="1:9" x14ac:dyDescent="0.35">
      <c r="A13" s="7" t="s">
        <v>111</v>
      </c>
      <c r="B13" s="10">
        <f>0.001</f>
        <v>1E-3</v>
      </c>
      <c r="C13" s="31">
        <f t="shared" ref="C13:C14" si="2">IF(ISERROR(VLOOKUP(A13,Tableau_produits,6,FALSE)),0,VLOOKUP(A13,Tableau_produits,6,FALSE))</f>
        <v>4.9800000000000004</v>
      </c>
      <c r="D13" s="33">
        <f t="shared" ref="D13:D14" si="3">C13*B13</f>
        <v>4.9800000000000009E-3</v>
      </c>
    </row>
    <row r="14" spans="1:9" x14ac:dyDescent="0.35">
      <c r="A14" s="7" t="s">
        <v>136</v>
      </c>
      <c r="B14" s="10">
        <f>0.0005</f>
        <v>5.0000000000000001E-4</v>
      </c>
      <c r="C14" s="31">
        <f t="shared" si="2"/>
        <v>94.199999999999989</v>
      </c>
      <c r="D14" s="33">
        <f t="shared" si="3"/>
        <v>4.7099999999999996E-2</v>
      </c>
    </row>
    <row r="15" spans="1:9" x14ac:dyDescent="0.35">
      <c r="A15" s="7" t="s">
        <v>519</v>
      </c>
      <c r="B15" s="10">
        <v>0.1</v>
      </c>
      <c r="C15" s="31">
        <f t="shared" si="0"/>
        <v>7.5333333333333341</v>
      </c>
      <c r="D15" s="33">
        <f t="shared" si="1"/>
        <v>0.75333333333333341</v>
      </c>
    </row>
    <row r="16" spans="1:9" x14ac:dyDescent="0.35">
      <c r="A16" s="7" t="s">
        <v>532</v>
      </c>
      <c r="B16" s="10">
        <v>0.03</v>
      </c>
      <c r="C16" s="31">
        <f t="shared" si="0"/>
        <v>225</v>
      </c>
      <c r="D16" s="33">
        <f t="shared" si="1"/>
        <v>6.75</v>
      </c>
    </row>
    <row r="17" spans="1:10" x14ac:dyDescent="0.35">
      <c r="A17" s="13" t="s">
        <v>48</v>
      </c>
      <c r="B17" s="13"/>
      <c r="C17" s="13"/>
      <c r="D17" s="34">
        <f>SUM(D6:D16)</f>
        <v>13.02228</v>
      </c>
    </row>
    <row r="18" spans="1:10" x14ac:dyDescent="0.35">
      <c r="A18" s="34" t="str">
        <f>"Coût par portion ("&amp;ROUND(C21*1000,0)&amp;"g)"</f>
        <v>Coût par portion (0g)</v>
      </c>
      <c r="B18" s="13"/>
      <c r="C18" s="13"/>
      <c r="D18" s="34">
        <f>IF(E21=0,0,D17/E21)</f>
        <v>3.2555700000000001</v>
      </c>
    </row>
    <row r="20" spans="1:10" ht="43.5" x14ac:dyDescent="0.35">
      <c r="A20" s="2" t="s">
        <v>90</v>
      </c>
      <c r="B20" s="28" t="s">
        <v>91</v>
      </c>
      <c r="C20" s="28" t="s">
        <v>94</v>
      </c>
      <c r="D20" s="28" t="s">
        <v>92</v>
      </c>
      <c r="E20" s="28" t="s">
        <v>95</v>
      </c>
    </row>
    <row r="21" spans="1:10" x14ac:dyDescent="0.35">
      <c r="A21" s="7" t="s">
        <v>93</v>
      </c>
      <c r="B21" s="7"/>
      <c r="C21" s="7">
        <v>0</v>
      </c>
      <c r="D21" s="30">
        <v>4</v>
      </c>
      <c r="E21" s="35">
        <f>TRUNC(D21)</f>
        <v>4</v>
      </c>
    </row>
    <row r="22" spans="1:10" s="38" customFormat="1" x14ac:dyDescent="0.35">
      <c r="A22" s="60"/>
      <c r="B22" s="60"/>
      <c r="C22" s="60"/>
      <c r="D22" s="64"/>
      <c r="E22" s="60"/>
    </row>
    <row r="23" spans="1:10" s="38" customFormat="1" x14ac:dyDescent="0.35">
      <c r="A23" s="71" t="s">
        <v>277</v>
      </c>
      <c r="B23" s="69"/>
      <c r="C23" s="69"/>
      <c r="D23" s="70"/>
      <c r="E23" s="69"/>
      <c r="F23" s="67"/>
      <c r="G23" s="67"/>
      <c r="H23" s="67"/>
    </row>
    <row r="24" spans="1:10" s="38" customFormat="1" x14ac:dyDescent="0.35">
      <c r="A24" s="60"/>
      <c r="B24" s="60"/>
      <c r="C24" s="60"/>
      <c r="D24" s="64"/>
      <c r="E24" s="60"/>
    </row>
    <row r="25" spans="1:10" s="38" customFormat="1" x14ac:dyDescent="0.35">
      <c r="A25" s="16" t="s">
        <v>274</v>
      </c>
      <c r="B25" s="2" t="s">
        <v>267</v>
      </c>
      <c r="C25" s="2" t="s">
        <v>268</v>
      </c>
      <c r="D25" s="2" t="s">
        <v>269</v>
      </c>
      <c r="E25"/>
    </row>
    <row r="26" spans="1:10" s="38" customFormat="1" x14ac:dyDescent="0.35">
      <c r="A26" s="7" t="s">
        <v>270</v>
      </c>
      <c r="B26" s="78">
        <v>8</v>
      </c>
      <c r="C26" s="24">
        <f>D18</f>
        <v>3.2555700000000001</v>
      </c>
      <c r="D26" s="35">
        <f>C26*B26</f>
        <v>26.044560000000001</v>
      </c>
      <c r="E26"/>
      <c r="G26" s="144"/>
    </row>
    <row r="27" spans="1:10" s="38" customFormat="1" x14ac:dyDescent="0.35">
      <c r="A27" s="7" t="s">
        <v>271</v>
      </c>
      <c r="B27" s="78">
        <v>4</v>
      </c>
      <c r="C27" s="24">
        <f>C26</f>
        <v>3.2555700000000001</v>
      </c>
      <c r="D27" s="35">
        <f>C27*B27</f>
        <v>13.02228</v>
      </c>
      <c r="E27"/>
      <c r="F27"/>
    </row>
    <row r="28" spans="1:10" s="38" customFormat="1" x14ac:dyDescent="0.35">
      <c r="A28" s="7" t="s">
        <v>272</v>
      </c>
      <c r="B28" s="35">
        <f>B26-B27</f>
        <v>4</v>
      </c>
      <c r="C28" s="66">
        <f>(D28/B28)*90%</f>
        <v>5.8600260000000004</v>
      </c>
      <c r="D28" s="35">
        <f>D26</f>
        <v>26.044560000000001</v>
      </c>
      <c r="E28"/>
      <c r="F28" s="83"/>
      <c r="G28"/>
      <c r="H28"/>
    </row>
    <row r="29" spans="1:10" s="38" customFormat="1" x14ac:dyDescent="0.35">
      <c r="A29" s="60"/>
      <c r="B29" s="60"/>
      <c r="C29" s="60"/>
      <c r="D29" s="64"/>
      <c r="E29" s="60"/>
    </row>
    <row r="30" spans="1:10" x14ac:dyDescent="0.35">
      <c r="A30" s="16" t="s">
        <v>275</v>
      </c>
      <c r="B30" s="50" t="s">
        <v>235</v>
      </c>
      <c r="C30" s="45">
        <v>1</v>
      </c>
      <c r="D30" s="45">
        <v>2</v>
      </c>
      <c r="E30" s="45">
        <v>3</v>
      </c>
      <c r="F30" s="45">
        <v>4</v>
      </c>
      <c r="G30" s="46">
        <v>5</v>
      </c>
      <c r="H30" s="46">
        <v>6</v>
      </c>
      <c r="I30" s="46">
        <v>7</v>
      </c>
      <c r="J30" s="46">
        <v>8</v>
      </c>
    </row>
    <row r="31" spans="1:10" x14ac:dyDescent="0.35">
      <c r="A31" s="17" t="s">
        <v>51</v>
      </c>
      <c r="B31" s="53"/>
      <c r="C31" s="24">
        <f>$C$28*C30</f>
        <v>5.8600260000000004</v>
      </c>
      <c r="D31" s="24">
        <f t="shared" ref="D31:J31" si="4">$C$28*D30</f>
        <v>11.720052000000001</v>
      </c>
      <c r="E31" s="24">
        <f t="shared" si="4"/>
        <v>17.580078</v>
      </c>
      <c r="F31" s="24">
        <f t="shared" si="4"/>
        <v>23.440104000000002</v>
      </c>
      <c r="G31" s="24">
        <f t="shared" si="4"/>
        <v>29.300130000000003</v>
      </c>
      <c r="H31" s="24">
        <f t="shared" si="4"/>
        <v>35.160156000000001</v>
      </c>
      <c r="I31" s="24">
        <f t="shared" si="4"/>
        <v>41.020182000000005</v>
      </c>
      <c r="J31" s="24">
        <f t="shared" si="4"/>
        <v>46.880208000000003</v>
      </c>
    </row>
    <row r="32" spans="1:10" x14ac:dyDescent="0.35">
      <c r="A32" s="16" t="s">
        <v>391</v>
      </c>
      <c r="B32" s="54">
        <v>1</v>
      </c>
      <c r="C32" s="24">
        <f>(($C$31+$B$32)+$C$53)*C30</f>
        <v>7.1676773650000003</v>
      </c>
      <c r="D32" s="24">
        <f t="shared" ref="D32:J32" si="5">(($C$31+$B$32)+$C$53)*D30</f>
        <v>14.335354730000001</v>
      </c>
      <c r="E32" s="24">
        <f t="shared" si="5"/>
        <v>21.503032095000002</v>
      </c>
      <c r="F32" s="24">
        <f t="shared" si="5"/>
        <v>28.670709460000001</v>
      </c>
      <c r="G32" s="24">
        <f t="shared" si="5"/>
        <v>35.838386825000001</v>
      </c>
      <c r="H32" s="24">
        <f t="shared" si="5"/>
        <v>43.006064190000004</v>
      </c>
      <c r="I32" s="24">
        <f t="shared" si="5"/>
        <v>50.173741554999999</v>
      </c>
      <c r="J32" s="24">
        <f t="shared" si="5"/>
        <v>57.341418920000002</v>
      </c>
    </row>
    <row r="33" spans="1:10" x14ac:dyDescent="0.35">
      <c r="A33" s="55" t="s">
        <v>380</v>
      </c>
      <c r="B33" s="56"/>
      <c r="C33" s="34">
        <f>C32+(C32*5.5%)</f>
        <v>7.5618996200750006</v>
      </c>
      <c r="D33" s="34">
        <f t="shared" ref="D33:J33" si="6">D32+(D32*5.5%)</f>
        <v>15.123799240150001</v>
      </c>
      <c r="E33" s="34">
        <f t="shared" si="6"/>
        <v>22.685698860225003</v>
      </c>
      <c r="F33" s="34">
        <f t="shared" si="6"/>
        <v>30.247598480300002</v>
      </c>
      <c r="G33" s="34">
        <f t="shared" si="6"/>
        <v>37.809498100375002</v>
      </c>
      <c r="H33" s="34">
        <f t="shared" si="6"/>
        <v>45.371397720450005</v>
      </c>
      <c r="I33" s="34">
        <f t="shared" si="6"/>
        <v>52.933297340525002</v>
      </c>
      <c r="J33" s="34">
        <f t="shared" si="6"/>
        <v>60.495196960600005</v>
      </c>
    </row>
    <row r="34" spans="1:10" s="38" customFormat="1" x14ac:dyDescent="0.35">
      <c r="A34" s="49" t="s">
        <v>233</v>
      </c>
      <c r="B34" s="15"/>
      <c r="C34" s="15"/>
      <c r="D34" s="15"/>
      <c r="E34" s="15"/>
      <c r="F34" s="15"/>
      <c r="G34" s="15"/>
    </row>
    <row r="35" spans="1:10" x14ac:dyDescent="0.35">
      <c r="A35" s="15"/>
      <c r="B35" s="14"/>
      <c r="C35" s="14"/>
      <c r="D35" s="14"/>
      <c r="E35" s="14"/>
    </row>
    <row r="36" spans="1:10" x14ac:dyDescent="0.35">
      <c r="A36" s="16" t="s">
        <v>388</v>
      </c>
      <c r="B36" s="56"/>
      <c r="C36" s="47">
        <v>1</v>
      </c>
      <c r="D36" s="47">
        <v>2</v>
      </c>
      <c r="E36" s="47">
        <v>3</v>
      </c>
      <c r="F36" s="47">
        <v>4</v>
      </c>
      <c r="G36" s="48">
        <v>5</v>
      </c>
      <c r="H36" s="48">
        <v>6</v>
      </c>
      <c r="I36" s="48">
        <v>7</v>
      </c>
      <c r="J36" s="48">
        <v>8</v>
      </c>
    </row>
    <row r="37" spans="1:10" x14ac:dyDescent="0.35">
      <c r="A37" s="17" t="s">
        <v>52</v>
      </c>
      <c r="B37" s="56"/>
      <c r="C37" s="24">
        <f>C31-($C$26*C36)</f>
        <v>2.6044560000000003</v>
      </c>
      <c r="D37" s="24">
        <f t="shared" ref="D37:J37" si="7">D31-($C$26*D36)</f>
        <v>5.2089120000000007</v>
      </c>
      <c r="E37" s="24">
        <f t="shared" si="7"/>
        <v>7.8133680000000005</v>
      </c>
      <c r="F37" s="24">
        <f t="shared" si="7"/>
        <v>10.417824000000001</v>
      </c>
      <c r="G37" s="24">
        <f t="shared" si="7"/>
        <v>13.022280000000002</v>
      </c>
      <c r="H37" s="24">
        <f t="shared" si="7"/>
        <v>15.626736000000001</v>
      </c>
      <c r="I37" s="24">
        <f t="shared" si="7"/>
        <v>18.231192000000004</v>
      </c>
      <c r="J37" s="24">
        <f t="shared" si="7"/>
        <v>20.835648000000003</v>
      </c>
    </row>
    <row r="38" spans="1:10" x14ac:dyDescent="0.35">
      <c r="A38" s="17" t="s">
        <v>53</v>
      </c>
      <c r="B38" s="56"/>
      <c r="C38" s="24">
        <f>C32-C31</f>
        <v>1.3076513649999999</v>
      </c>
      <c r="D38" s="24">
        <f t="shared" ref="D38:J38" si="8">D32-D31</f>
        <v>2.6153027299999998</v>
      </c>
      <c r="E38" s="24">
        <f t="shared" si="8"/>
        <v>3.9229540950000015</v>
      </c>
      <c r="F38" s="24">
        <f t="shared" si="8"/>
        <v>5.2306054599999996</v>
      </c>
      <c r="G38" s="24">
        <f t="shared" si="8"/>
        <v>6.5382568249999977</v>
      </c>
      <c r="H38" s="24">
        <f t="shared" si="8"/>
        <v>7.8459081900000029</v>
      </c>
      <c r="I38" s="24">
        <f t="shared" si="8"/>
        <v>9.153559554999994</v>
      </c>
      <c r="J38" s="24">
        <f t="shared" si="8"/>
        <v>10.461210919999999</v>
      </c>
    </row>
    <row r="39" spans="1:10" s="38" customFormat="1" x14ac:dyDescent="0.35">
      <c r="A39" s="49" t="s">
        <v>234</v>
      </c>
      <c r="B39" s="15"/>
      <c r="C39" s="15"/>
      <c r="D39" s="15"/>
      <c r="E39" s="15"/>
      <c r="F39" s="15"/>
    </row>
    <row r="41" spans="1:10" x14ac:dyDescent="0.35">
      <c r="A41" s="2" t="s">
        <v>236</v>
      </c>
      <c r="B41" s="56"/>
      <c r="C41" s="47">
        <v>1</v>
      </c>
      <c r="D41" s="47">
        <v>2</v>
      </c>
      <c r="E41" s="47">
        <v>3</v>
      </c>
      <c r="F41" s="47">
        <v>4</v>
      </c>
      <c r="G41" s="48">
        <v>5</v>
      </c>
      <c r="H41" s="48">
        <v>6</v>
      </c>
      <c r="I41" s="48">
        <v>7</v>
      </c>
      <c r="J41" s="48">
        <v>8</v>
      </c>
    </row>
    <row r="42" spans="1:10" x14ac:dyDescent="0.35">
      <c r="A42" s="7" t="s">
        <v>238</v>
      </c>
      <c r="B42" s="56"/>
      <c r="C42" s="59">
        <f>IF($D$26=0,0,(C31)/$D$26)</f>
        <v>0.22500000000000001</v>
      </c>
      <c r="D42" s="59">
        <f t="shared" ref="D42:J42" si="9">IF($D$26=0,0,(D31)/$D$26)</f>
        <v>0.45</v>
      </c>
      <c r="E42" s="59">
        <f t="shared" si="9"/>
        <v>0.67500000000000004</v>
      </c>
      <c r="F42" s="59">
        <f>IF($D$26=0,0,(F31)/$D$26)</f>
        <v>0.9</v>
      </c>
      <c r="G42" s="59">
        <f t="shared" si="9"/>
        <v>1.125</v>
      </c>
      <c r="H42" s="59">
        <f t="shared" si="9"/>
        <v>1.35</v>
      </c>
      <c r="I42" s="59">
        <f t="shared" si="9"/>
        <v>1.5750000000000002</v>
      </c>
      <c r="J42" s="59">
        <f t="shared" si="9"/>
        <v>1.8</v>
      </c>
    </row>
    <row r="43" spans="1:10" x14ac:dyDescent="0.35">
      <c r="A43" s="7" t="s">
        <v>383</v>
      </c>
      <c r="B43" s="56"/>
      <c r="C43" s="24">
        <f>C38</f>
        <v>1.3076513649999999</v>
      </c>
      <c r="D43" s="24">
        <f t="shared" ref="D43:J43" si="10">D38</f>
        <v>2.6153027299999998</v>
      </c>
      <c r="E43" s="24">
        <f t="shared" si="10"/>
        <v>3.9229540950000015</v>
      </c>
      <c r="F43" s="24">
        <f t="shared" si="10"/>
        <v>5.2306054599999996</v>
      </c>
      <c r="G43" s="24">
        <f t="shared" si="10"/>
        <v>6.5382568249999977</v>
      </c>
      <c r="H43" s="24">
        <f t="shared" si="10"/>
        <v>7.8459081900000029</v>
      </c>
      <c r="I43" s="24">
        <f t="shared" si="10"/>
        <v>9.153559554999994</v>
      </c>
      <c r="J43" s="24">
        <f t="shared" si="10"/>
        <v>10.461210919999999</v>
      </c>
    </row>
    <row r="44" spans="1:10" s="60" customFormat="1" x14ac:dyDescent="0.35">
      <c r="B44" s="57"/>
      <c r="C44" s="15"/>
      <c r="D44" s="15"/>
      <c r="E44" s="15"/>
      <c r="F44" s="15"/>
      <c r="G44" s="15"/>
      <c r="H44" s="15"/>
      <c r="I44" s="15"/>
      <c r="J44" s="15"/>
    </row>
    <row r="45" spans="1:10" s="60" customFormat="1" x14ac:dyDescent="0.35">
      <c r="A45" s="71" t="s">
        <v>384</v>
      </c>
      <c r="B45" s="76"/>
      <c r="C45" s="111"/>
      <c r="D45" s="111"/>
      <c r="E45" s="111"/>
      <c r="F45" s="111"/>
      <c r="G45" s="111"/>
      <c r="H45" s="111"/>
      <c r="I45" s="111"/>
      <c r="J45" s="111"/>
    </row>
    <row r="46" spans="1:10" s="60" customFormat="1" x14ac:dyDescent="0.35">
      <c r="B46" s="57"/>
      <c r="C46" s="15"/>
      <c r="D46" s="15"/>
      <c r="E46" s="15"/>
      <c r="F46" s="15"/>
      <c r="G46" s="15"/>
      <c r="H46" s="15"/>
      <c r="I46" s="15"/>
      <c r="J46" s="15"/>
    </row>
    <row r="47" spans="1:10" s="60" customFormat="1" ht="43.5" x14ac:dyDescent="0.35">
      <c r="A47" s="109" t="s">
        <v>385</v>
      </c>
      <c r="B47" s="112">
        <v>0.15</v>
      </c>
      <c r="C47" s="48">
        <v>1</v>
      </c>
      <c r="D47" s="48">
        <v>2</v>
      </c>
      <c r="E47" s="48">
        <v>3</v>
      </c>
      <c r="F47" s="48">
        <v>4</v>
      </c>
      <c r="G47" s="48">
        <v>5</v>
      </c>
      <c r="H47" s="48">
        <v>6</v>
      </c>
      <c r="I47" s="48">
        <v>7</v>
      </c>
      <c r="J47" s="48">
        <v>8</v>
      </c>
    </row>
    <row r="48" spans="1:10" s="60" customFormat="1" x14ac:dyDescent="0.35">
      <c r="A48" s="11" t="s">
        <v>382</v>
      </c>
      <c r="B48" s="110"/>
      <c r="C48" s="24">
        <f>($C$26-$C$26*5.5%)*C47</f>
        <v>3.0765136499999999</v>
      </c>
      <c r="D48" s="24">
        <f>($C$26-$C$26*5.5%)*D47</f>
        <v>6.1530272999999998</v>
      </c>
      <c r="E48" s="24">
        <f t="shared" ref="E48:J48" si="11">($C$26-$C$26*5.5%)*E47</f>
        <v>9.2295409500000005</v>
      </c>
      <c r="F48" s="24">
        <f t="shared" si="11"/>
        <v>12.3060546</v>
      </c>
      <c r="G48" s="24">
        <f t="shared" si="11"/>
        <v>15.382568249999998</v>
      </c>
      <c r="H48" s="24">
        <f t="shared" si="11"/>
        <v>18.459081900000001</v>
      </c>
      <c r="I48" s="24">
        <f t="shared" si="11"/>
        <v>21.53559555</v>
      </c>
      <c r="J48" s="24">
        <f t="shared" si="11"/>
        <v>24.612109199999999</v>
      </c>
    </row>
    <row r="49" spans="1:10" s="60" customFormat="1" x14ac:dyDescent="0.35">
      <c r="A49" s="11" t="s">
        <v>281</v>
      </c>
      <c r="B49" s="16"/>
      <c r="C49" s="115">
        <f>C48*$B$47</f>
        <v>0.46147704749999996</v>
      </c>
      <c r="D49" s="115">
        <f t="shared" ref="D49:J49" si="12">D48*$B$47</f>
        <v>0.92295409499999992</v>
      </c>
      <c r="E49" s="115">
        <f t="shared" si="12"/>
        <v>1.3844311425</v>
      </c>
      <c r="F49" s="115">
        <f t="shared" si="12"/>
        <v>1.8459081899999998</v>
      </c>
      <c r="G49" s="115">
        <f t="shared" si="12"/>
        <v>2.3073852374999997</v>
      </c>
      <c r="H49" s="115">
        <f t="shared" si="12"/>
        <v>2.768862285</v>
      </c>
      <c r="I49" s="115">
        <f t="shared" si="12"/>
        <v>3.2303393324999998</v>
      </c>
      <c r="J49" s="115">
        <f t="shared" si="12"/>
        <v>3.6918163799999997</v>
      </c>
    </row>
    <row r="50" spans="1:10" s="60" customFormat="1" x14ac:dyDescent="0.35">
      <c r="B50" s="57"/>
      <c r="C50" s="114"/>
      <c r="D50" s="114"/>
      <c r="E50" s="114"/>
      <c r="F50" s="114"/>
      <c r="G50" s="114"/>
      <c r="H50" s="114"/>
      <c r="I50" s="114"/>
      <c r="J50" s="114"/>
    </row>
    <row r="51" spans="1:10" s="60" customFormat="1" ht="43.5" x14ac:dyDescent="0.35">
      <c r="A51" s="109" t="s">
        <v>394</v>
      </c>
      <c r="B51" s="112">
        <v>0.1</v>
      </c>
      <c r="C51" s="48">
        <v>1</v>
      </c>
      <c r="D51" s="48">
        <v>2</v>
      </c>
      <c r="E51" s="48">
        <v>3</v>
      </c>
      <c r="F51" s="48">
        <v>4</v>
      </c>
      <c r="G51" s="48">
        <v>5</v>
      </c>
      <c r="H51" s="48">
        <v>6</v>
      </c>
      <c r="I51" s="48">
        <v>7</v>
      </c>
      <c r="J51" s="48">
        <v>8</v>
      </c>
    </row>
    <row r="52" spans="1:10" s="60" customFormat="1" x14ac:dyDescent="0.35">
      <c r="A52" s="11" t="s">
        <v>382</v>
      </c>
      <c r="B52" s="16"/>
      <c r="C52" s="24">
        <f>($C$26-$C$26*5.5%)*C51</f>
        <v>3.0765136499999999</v>
      </c>
      <c r="D52" s="24">
        <f>($C$26-$C$26*5.5%)*D51</f>
        <v>6.1530272999999998</v>
      </c>
      <c r="E52" s="24">
        <f t="shared" ref="E52:J52" si="13">($C$26-$C$26*5.5%)*E51</f>
        <v>9.2295409500000005</v>
      </c>
      <c r="F52" s="24">
        <f t="shared" si="13"/>
        <v>12.3060546</v>
      </c>
      <c r="G52" s="24">
        <f t="shared" si="13"/>
        <v>15.382568249999998</v>
      </c>
      <c r="H52" s="24">
        <f t="shared" si="13"/>
        <v>18.459081900000001</v>
      </c>
      <c r="I52" s="24">
        <f t="shared" si="13"/>
        <v>21.53559555</v>
      </c>
      <c r="J52" s="24">
        <f t="shared" si="13"/>
        <v>24.612109199999999</v>
      </c>
    </row>
    <row r="53" spans="1:10" s="60" customFormat="1" x14ac:dyDescent="0.35">
      <c r="A53" s="11" t="s">
        <v>386</v>
      </c>
      <c r="B53" s="16"/>
      <c r="C53" s="113">
        <f>C52*$B$51</f>
        <v>0.30765136500000001</v>
      </c>
      <c r="D53" s="113">
        <f t="shared" ref="D53:J53" si="14">D52*$B$51</f>
        <v>0.61530273000000002</v>
      </c>
      <c r="E53" s="113">
        <f t="shared" si="14"/>
        <v>0.92295409500000014</v>
      </c>
      <c r="F53" s="113">
        <f t="shared" si="14"/>
        <v>1.23060546</v>
      </c>
      <c r="G53" s="113">
        <f t="shared" si="14"/>
        <v>1.5382568249999999</v>
      </c>
      <c r="H53" s="113">
        <f t="shared" si="14"/>
        <v>1.8459081900000003</v>
      </c>
      <c r="I53" s="113">
        <f t="shared" si="14"/>
        <v>2.1535595550000002</v>
      </c>
      <c r="J53" s="113">
        <f t="shared" si="14"/>
        <v>2.4612109200000001</v>
      </c>
    </row>
    <row r="54" spans="1:10" s="60" customFormat="1" x14ac:dyDescent="0.35">
      <c r="A54" s="11" t="s">
        <v>387</v>
      </c>
      <c r="B54" s="16"/>
      <c r="C54" s="113">
        <f>C43-C53</f>
        <v>0.99999999999999989</v>
      </c>
      <c r="D54" s="113">
        <f t="shared" ref="D54:J54" si="15">D43-D53</f>
        <v>1.9999999999999998</v>
      </c>
      <c r="E54" s="113">
        <f t="shared" si="15"/>
        <v>3.0000000000000013</v>
      </c>
      <c r="F54" s="113">
        <f>F43-F53</f>
        <v>3.9999999999999996</v>
      </c>
      <c r="G54" s="113">
        <f t="shared" si="15"/>
        <v>4.9999999999999982</v>
      </c>
      <c r="H54" s="113">
        <f t="shared" si="15"/>
        <v>6.0000000000000027</v>
      </c>
      <c r="I54" s="113">
        <f t="shared" si="15"/>
        <v>6.9999999999999938</v>
      </c>
      <c r="J54" s="113">
        <f t="shared" si="15"/>
        <v>7.9999999999999991</v>
      </c>
    </row>
    <row r="56" spans="1:10" x14ac:dyDescent="0.35">
      <c r="A56" s="68" t="s">
        <v>416</v>
      </c>
      <c r="B56" s="67"/>
      <c r="C56" s="67"/>
      <c r="D56" s="67"/>
      <c r="E56" s="67"/>
      <c r="F56" s="67"/>
      <c r="G56" s="67"/>
      <c r="H56" s="67"/>
      <c r="I56" s="67"/>
      <c r="J56" s="67"/>
    </row>
    <row r="58" spans="1:10" x14ac:dyDescent="0.35">
      <c r="A58" s="117" t="s">
        <v>389</v>
      </c>
      <c r="B58" s="118"/>
    </row>
    <row r="59" spans="1:10" x14ac:dyDescent="0.35">
      <c r="A59" s="116" t="s">
        <v>393</v>
      </c>
      <c r="B59" s="145">
        <f>J49</f>
        <v>3.6918163799999997</v>
      </c>
    </row>
    <row r="60" spans="1:10" x14ac:dyDescent="0.35">
      <c r="A60" s="42" t="s">
        <v>392</v>
      </c>
      <c r="B60" s="24">
        <f>F38</f>
        <v>5.2306054599999996</v>
      </c>
    </row>
    <row r="61" spans="1:10" x14ac:dyDescent="0.35">
      <c r="A61" s="120" t="s">
        <v>48</v>
      </c>
      <c r="B61" s="34">
        <f>SUM(B59:B60)</f>
        <v>8.9224218399999984</v>
      </c>
    </row>
    <row r="63" spans="1:10" x14ac:dyDescent="0.35">
      <c r="A63" s="117" t="s">
        <v>390</v>
      </c>
      <c r="B63" s="118"/>
    </row>
    <row r="64" spans="1:10" x14ac:dyDescent="0.35">
      <c r="A64" s="116" t="s">
        <v>393</v>
      </c>
      <c r="B64" s="145">
        <f>J49</f>
        <v>3.6918163799999997</v>
      </c>
    </row>
    <row r="65" spans="1:10" x14ac:dyDescent="0.35">
      <c r="A65" s="42" t="s">
        <v>392</v>
      </c>
      <c r="B65" s="24">
        <f>F54</f>
        <v>3.9999999999999996</v>
      </c>
    </row>
    <row r="66" spans="1:10" x14ac:dyDescent="0.35">
      <c r="A66" s="120" t="s">
        <v>48</v>
      </c>
      <c r="B66" s="34">
        <f>SUM(B64:B65)</f>
        <v>7.6918163799999988</v>
      </c>
    </row>
    <row r="68" spans="1:10" x14ac:dyDescent="0.35">
      <c r="A68" s="68" t="s">
        <v>422</v>
      </c>
      <c r="B68" s="67"/>
      <c r="C68" s="67"/>
      <c r="D68" s="67"/>
      <c r="E68" s="67"/>
      <c r="F68" s="67"/>
      <c r="G68" s="67"/>
      <c r="H68" s="67"/>
      <c r="I68" s="67"/>
      <c r="J68" s="67"/>
    </row>
    <row r="70" spans="1:10" x14ac:dyDescent="0.35">
      <c r="A70" s="117" t="s">
        <v>389</v>
      </c>
      <c r="B70" s="118"/>
    </row>
    <row r="71" spans="1:10" x14ac:dyDescent="0.35">
      <c r="A71" s="42" t="s">
        <v>405</v>
      </c>
      <c r="B71" s="24">
        <f>D26</f>
        <v>26.044560000000001</v>
      </c>
    </row>
    <row r="72" spans="1:10" x14ac:dyDescent="0.35">
      <c r="A72" s="116" t="s">
        <v>393</v>
      </c>
      <c r="B72" s="145">
        <f>0-J49</f>
        <v>-3.6918163799999997</v>
      </c>
    </row>
    <row r="73" spans="1:10" x14ac:dyDescent="0.35">
      <c r="A73" s="120" t="s">
        <v>48</v>
      </c>
      <c r="B73" s="34">
        <f>SUM(B71:B72)</f>
        <v>22.352743620000002</v>
      </c>
    </row>
    <row r="75" spans="1:10" x14ac:dyDescent="0.35">
      <c r="A75" s="133" t="s">
        <v>390</v>
      </c>
      <c r="B75" s="134"/>
    </row>
    <row r="76" spans="1:10" x14ac:dyDescent="0.35">
      <c r="A76" s="42" t="s">
        <v>405</v>
      </c>
      <c r="B76" s="24">
        <f>D26</f>
        <v>26.044560000000001</v>
      </c>
    </row>
    <row r="77" spans="1:10" x14ac:dyDescent="0.35">
      <c r="A77" s="42" t="s">
        <v>393</v>
      </c>
      <c r="B77" s="24">
        <f>0-J49</f>
        <v>-3.6918163799999997</v>
      </c>
    </row>
    <row r="78" spans="1:10" x14ac:dyDescent="0.35">
      <c r="A78" s="42" t="s">
        <v>406</v>
      </c>
      <c r="B78" s="24">
        <f>F53</f>
        <v>1.23060546</v>
      </c>
    </row>
    <row r="79" spans="1:10" x14ac:dyDescent="0.35">
      <c r="A79" s="120" t="s">
        <v>48</v>
      </c>
      <c r="B79" s="34">
        <f>SUM(B76:B78)</f>
        <v>23.583349080000001</v>
      </c>
    </row>
    <row r="80" spans="1:10" s="40" customFormat="1" x14ac:dyDescent="0.35">
      <c r="A80" s="121"/>
      <c r="B80" s="122"/>
    </row>
    <row r="81" spans="1:2" s="40" customFormat="1" x14ac:dyDescent="0.35">
      <c r="A81" s="121"/>
      <c r="B81" s="122"/>
    </row>
    <row r="82" spans="1:2" s="40" customFormat="1" x14ac:dyDescent="0.35">
      <c r="A82" s="37" t="s">
        <v>96</v>
      </c>
      <c r="B82" s="122"/>
    </row>
    <row r="83" spans="1:2" s="40" customFormat="1" x14ac:dyDescent="0.35">
      <c r="A83" s="121"/>
      <c r="B83" s="122"/>
    </row>
    <row r="84" spans="1:2" x14ac:dyDescent="0.35">
      <c r="A84" s="2" t="s">
        <v>67</v>
      </c>
      <c r="B84" s="7"/>
    </row>
    <row r="85" spans="1:2" x14ac:dyDescent="0.35">
      <c r="A85" s="7" t="s">
        <v>116</v>
      </c>
      <c r="B85" s="7">
        <v>20</v>
      </c>
    </row>
    <row r="86" spans="1:2" x14ac:dyDescent="0.35">
      <c r="A86" s="7" t="s">
        <v>140</v>
      </c>
      <c r="B86" s="7"/>
    </row>
    <row r="88" spans="1:2" x14ac:dyDescent="0.35">
      <c r="A88" s="39" t="s">
        <v>115</v>
      </c>
      <c r="B88" s="40"/>
    </row>
    <row r="90" spans="1:2" x14ac:dyDescent="0.35">
      <c r="A90" t="s">
        <v>534</v>
      </c>
    </row>
    <row r="91" spans="1:2" x14ac:dyDescent="0.35">
      <c r="A91" t="s">
        <v>533</v>
      </c>
    </row>
    <row r="92" spans="1:2" x14ac:dyDescent="0.35">
      <c r="A92" t="s">
        <v>539</v>
      </c>
    </row>
    <row r="93" spans="1:2" x14ac:dyDescent="0.35">
      <c r="A93" t="s">
        <v>536</v>
      </c>
    </row>
    <row r="94" spans="1:2" x14ac:dyDescent="0.35">
      <c r="A94" t="s">
        <v>537</v>
      </c>
    </row>
    <row r="95" spans="1:2" x14ac:dyDescent="0.35">
      <c r="A95" t="s">
        <v>538</v>
      </c>
    </row>
    <row r="96" spans="1:2" x14ac:dyDescent="0.35">
      <c r="A96" t="s">
        <v>540</v>
      </c>
    </row>
  </sheetData>
  <conditionalFormatting sqref="C42:J42">
    <cfRule type="cellIs" dxfId="128" priority="7" operator="greaterThanOrEqual">
      <formula>1</formula>
    </cfRule>
    <cfRule type="cellIs" dxfId="127" priority="8" operator="between">
      <formula>0.5</formula>
      <formula>1</formula>
    </cfRule>
  </conditionalFormatting>
  <conditionalFormatting sqref="C43:J43">
    <cfRule type="cellIs" dxfId="126" priority="5" operator="between">
      <formula>2</formula>
      <formula>4</formula>
    </cfRule>
    <cfRule type="cellIs" dxfId="125" priority="6" operator="greaterThanOrEqual">
      <formula>4</formula>
    </cfRule>
  </conditionalFormatting>
  <conditionalFormatting sqref="C53:J53">
    <cfRule type="cellIs" dxfId="124" priority="4" operator="greaterThanOrEqual">
      <formula>$J$49</formula>
    </cfRule>
  </conditionalFormatting>
  <conditionalFormatting sqref="C54:J54">
    <cfRule type="cellIs" dxfId="123" priority="2" operator="between">
      <formula>2</formula>
      <formula>4</formula>
    </cfRule>
    <cfRule type="cellIs" dxfId="122" priority="3" operator="greaterThanOrEqual">
      <formula>4</formula>
    </cfRule>
  </conditionalFormatting>
  <conditionalFormatting sqref="C49:J49">
    <cfRule type="cellIs" dxfId="121" priority="1" operator="greaterThanOrEqual">
      <formula>0.5</formula>
    </cfRule>
  </conditionalFormatting>
  <dataValidations count="1">
    <dataValidation type="list" allowBlank="1" showInputMessage="1" showErrorMessage="1" sqref="F6 A6:A16">
      <formula1>Ingrédients_recettes</formula1>
    </dataValidation>
  </dataValidations>
  <pageMargins left="0.7" right="0.7" top="0.75" bottom="0.75" header="0.3" footer="0.3"/>
  <pageSetup paperSize="9" scale="59" orientation="portrait" horizontalDpi="4294967293" verticalDpi="4294967293"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9"/>
  <sheetViews>
    <sheetView workbookViewId="0">
      <selection activeCell="A6" sqref="A6"/>
    </sheetView>
  </sheetViews>
  <sheetFormatPr baseColWidth="10" defaultRowHeight="14.5" x14ac:dyDescent="0.35"/>
  <cols>
    <col min="1" max="1" width="34.1796875" customWidth="1"/>
    <col min="2" max="2" width="14.6328125" bestFit="1" customWidth="1"/>
    <col min="3" max="3" width="13.1796875" bestFit="1" customWidth="1"/>
    <col min="4" max="4" width="14.36328125" bestFit="1" customWidth="1"/>
    <col min="5" max="5" width="10.1796875" bestFit="1" customWidth="1"/>
    <col min="6" max="6" width="12" customWidth="1"/>
    <col min="7" max="7" width="9.81640625" customWidth="1"/>
    <col min="8" max="8" width="10.90625" customWidth="1"/>
  </cols>
  <sheetData>
    <row r="1" spans="1:9" x14ac:dyDescent="0.35">
      <c r="A1" s="103" t="s">
        <v>563</v>
      </c>
      <c r="B1" s="104"/>
      <c r="C1" s="104"/>
      <c r="D1" s="104"/>
      <c r="E1" s="104"/>
      <c r="F1" s="104"/>
      <c r="G1" s="104"/>
      <c r="H1" s="63"/>
    </row>
    <row r="2" spans="1:9" s="38" customFormat="1" x14ac:dyDescent="0.35">
      <c r="A2" s="73"/>
      <c r="B2" s="74"/>
      <c r="C2" s="74"/>
      <c r="D2" s="74"/>
      <c r="E2" s="74"/>
      <c r="F2" s="74"/>
      <c r="G2" s="74"/>
    </row>
    <row r="3" spans="1:9" s="38" customFormat="1" x14ac:dyDescent="0.35">
      <c r="A3" s="68" t="s">
        <v>276</v>
      </c>
      <c r="B3" s="75"/>
      <c r="C3" s="75"/>
      <c r="D3" s="75"/>
      <c r="E3" s="75"/>
      <c r="F3" s="75"/>
      <c r="G3" s="75"/>
      <c r="H3" s="67"/>
    </row>
    <row r="5" spans="1:9" x14ac:dyDescent="0.35">
      <c r="A5" s="2" t="s">
        <v>68</v>
      </c>
      <c r="B5" s="2" t="s">
        <v>41</v>
      </c>
      <c r="C5" s="2" t="s">
        <v>42</v>
      </c>
      <c r="D5" s="2" t="s">
        <v>40</v>
      </c>
    </row>
    <row r="6" spans="1:9" x14ac:dyDescent="0.35">
      <c r="A6" s="7" t="s">
        <v>564</v>
      </c>
      <c r="B6" s="4">
        <v>0.46500000000000002</v>
      </c>
      <c r="C6" s="31">
        <f t="shared" ref="C6:C16" si="0">IF(ISERROR(VLOOKUP(A6,Tableau_produits,6,FALSE)),0,VLOOKUP(A6,Tableau_produits,6,FALSE))</f>
        <v>17.999999999999996</v>
      </c>
      <c r="D6" s="32">
        <f>C6*B6</f>
        <v>8.3699999999999992</v>
      </c>
      <c r="E6" s="88"/>
      <c r="I6" s="89"/>
    </row>
    <row r="7" spans="1:9" x14ac:dyDescent="0.35">
      <c r="A7" s="7" t="s">
        <v>565</v>
      </c>
      <c r="B7" s="4">
        <v>0.4</v>
      </c>
      <c r="C7" s="31">
        <f t="shared" si="0"/>
        <v>3.0999999999999996</v>
      </c>
      <c r="D7" s="32">
        <f>C7*B7</f>
        <v>1.24</v>
      </c>
      <c r="I7" s="89"/>
    </row>
    <row r="8" spans="1:9" x14ac:dyDescent="0.35">
      <c r="A8" s="7" t="s">
        <v>516</v>
      </c>
      <c r="B8" s="4">
        <f>0.15*2</f>
        <v>0.3</v>
      </c>
      <c r="C8" s="31">
        <f t="shared" si="0"/>
        <v>3.2584269662921348</v>
      </c>
      <c r="D8" s="32">
        <f t="shared" ref="D8:D16" si="1">C8*B8</f>
        <v>0.97752808988764039</v>
      </c>
      <c r="I8" s="89"/>
    </row>
    <row r="9" spans="1:9" x14ac:dyDescent="0.35">
      <c r="A9" s="7" t="s">
        <v>566</v>
      </c>
      <c r="B9" s="4">
        <f>0.004*6</f>
        <v>2.4E-2</v>
      </c>
      <c r="C9" s="31">
        <f t="shared" si="0"/>
        <v>10.967741935483872</v>
      </c>
      <c r="D9" s="32">
        <f t="shared" si="1"/>
        <v>0.26322580645161292</v>
      </c>
      <c r="I9" s="89"/>
    </row>
    <row r="10" spans="1:9" x14ac:dyDescent="0.35">
      <c r="A10" s="7" t="s">
        <v>108</v>
      </c>
      <c r="B10" s="86">
        <f>0.01*3</f>
        <v>0.03</v>
      </c>
      <c r="C10" s="31">
        <f t="shared" si="0"/>
        <v>7.8533333333333326</v>
      </c>
      <c r="D10" s="32">
        <f t="shared" si="1"/>
        <v>0.23559999999999998</v>
      </c>
      <c r="I10" s="40"/>
    </row>
    <row r="11" spans="1:9" x14ac:dyDescent="0.35">
      <c r="A11" s="7" t="s">
        <v>501</v>
      </c>
      <c r="B11" s="86">
        <f>0.003*5</f>
        <v>1.4999999999999999E-2</v>
      </c>
      <c r="C11" s="31">
        <f t="shared" si="0"/>
        <v>19.266666666666669</v>
      </c>
      <c r="D11" s="32">
        <f t="shared" si="1"/>
        <v>0.28900000000000003</v>
      </c>
    </row>
    <row r="12" spans="1:9" x14ac:dyDescent="0.35">
      <c r="A12" s="7" t="s">
        <v>449</v>
      </c>
      <c r="B12" s="10">
        <v>0.01</v>
      </c>
      <c r="C12" s="31">
        <f t="shared" si="0"/>
        <v>6.6000000000000005</v>
      </c>
      <c r="D12" s="33">
        <f t="shared" si="1"/>
        <v>6.6000000000000003E-2</v>
      </c>
    </row>
    <row r="13" spans="1:9" x14ac:dyDescent="0.35">
      <c r="A13" s="7" t="s">
        <v>295</v>
      </c>
      <c r="B13" s="86">
        <v>5.0000000000000001E-4</v>
      </c>
      <c r="C13" s="31">
        <f t="shared" si="0"/>
        <v>79.142857142857139</v>
      </c>
      <c r="D13" s="33">
        <f t="shared" si="1"/>
        <v>3.957142857142857E-2</v>
      </c>
    </row>
    <row r="14" spans="1:9" x14ac:dyDescent="0.35">
      <c r="A14" s="7" t="s">
        <v>111</v>
      </c>
      <c r="B14" s="10">
        <f>0.001</f>
        <v>1E-3</v>
      </c>
      <c r="C14" s="31">
        <f t="shared" ref="C14:C15" si="2">IF(ISERROR(VLOOKUP(A14,Tableau_produits,6,FALSE)),0,VLOOKUP(A14,Tableau_produits,6,FALSE))</f>
        <v>4.9800000000000004</v>
      </c>
      <c r="D14" s="33">
        <f t="shared" ref="D14:D15" si="3">C14*B14</f>
        <v>4.9800000000000009E-3</v>
      </c>
    </row>
    <row r="15" spans="1:9" x14ac:dyDescent="0.35">
      <c r="A15" s="7" t="s">
        <v>136</v>
      </c>
      <c r="B15" s="10">
        <f>0.0005</f>
        <v>5.0000000000000001E-4</v>
      </c>
      <c r="C15" s="31">
        <f t="shared" si="2"/>
        <v>94.199999999999989</v>
      </c>
      <c r="D15" s="33">
        <f t="shared" si="3"/>
        <v>4.7099999999999996E-2</v>
      </c>
    </row>
    <row r="16" spans="1:9" x14ac:dyDescent="0.35">
      <c r="A16" s="7" t="s">
        <v>365</v>
      </c>
      <c r="B16" s="10">
        <v>2E-3</v>
      </c>
      <c r="C16" s="31">
        <f t="shared" si="0"/>
        <v>83.2</v>
      </c>
      <c r="D16" s="33">
        <f t="shared" si="1"/>
        <v>0.16640000000000002</v>
      </c>
    </row>
    <row r="17" spans="1:10" x14ac:dyDescent="0.35">
      <c r="A17" s="7" t="s">
        <v>567</v>
      </c>
      <c r="B17" s="10">
        <f>0.07*4</f>
        <v>0.28000000000000003</v>
      </c>
      <c r="C17" s="31">
        <f t="shared" ref="C17" si="4">IF(ISERROR(VLOOKUP(A17,Tableau_produits,6,FALSE)),0,VLOOKUP(A17,Tableau_produits,6,FALSE))</f>
        <v>5</v>
      </c>
      <c r="D17" s="33">
        <f t="shared" ref="D17" si="5">C17*B17</f>
        <v>1.4000000000000001</v>
      </c>
    </row>
    <row r="18" spans="1:10" x14ac:dyDescent="0.35">
      <c r="A18" s="13" t="s">
        <v>48</v>
      </c>
      <c r="B18" s="13"/>
      <c r="C18" s="13"/>
      <c r="D18" s="34">
        <f>SUM(D6:D17)</f>
        <v>13.099405324910681</v>
      </c>
    </row>
    <row r="19" spans="1:10" x14ac:dyDescent="0.35">
      <c r="A19" s="34" t="str">
        <f>"Coût par portion ("&amp;ROUND(C22*1000,0)&amp;"g)"</f>
        <v>Coût par portion (0g)</v>
      </c>
      <c r="B19" s="13"/>
      <c r="C19" s="13"/>
      <c r="D19" s="34">
        <f>IF(E22=0,0,D18/E22)</f>
        <v>3.2748513312276701</v>
      </c>
    </row>
    <row r="21" spans="1:10" ht="43.5" x14ac:dyDescent="0.35">
      <c r="A21" s="2" t="s">
        <v>90</v>
      </c>
      <c r="B21" s="28" t="s">
        <v>91</v>
      </c>
      <c r="C21" s="28" t="s">
        <v>94</v>
      </c>
      <c r="D21" s="28" t="s">
        <v>92</v>
      </c>
      <c r="E21" s="28" t="s">
        <v>95</v>
      </c>
    </row>
    <row r="22" spans="1:10" x14ac:dyDescent="0.35">
      <c r="A22" s="7" t="s">
        <v>93</v>
      </c>
      <c r="B22" s="7"/>
      <c r="C22" s="7">
        <v>0</v>
      </c>
      <c r="D22" s="30">
        <v>4</v>
      </c>
      <c r="E22" s="35">
        <f>TRUNC(D22)</f>
        <v>4</v>
      </c>
    </row>
    <row r="23" spans="1:10" s="38" customFormat="1" x14ac:dyDescent="0.35">
      <c r="A23" s="60"/>
      <c r="B23" s="60"/>
      <c r="C23" s="60"/>
      <c r="D23" s="64"/>
      <c r="E23" s="60"/>
    </row>
    <row r="24" spans="1:10" s="38" customFormat="1" x14ac:dyDescent="0.35">
      <c r="A24" s="71" t="s">
        <v>277</v>
      </c>
      <c r="B24" s="69"/>
      <c r="C24" s="69"/>
      <c r="D24" s="70"/>
      <c r="E24" s="69"/>
      <c r="F24" s="67"/>
      <c r="G24" s="67"/>
      <c r="H24" s="67"/>
    </row>
    <row r="25" spans="1:10" s="38" customFormat="1" x14ac:dyDescent="0.35">
      <c r="A25" s="60"/>
      <c r="B25" s="60"/>
      <c r="C25" s="60"/>
      <c r="D25" s="64"/>
      <c r="E25" s="60"/>
    </row>
    <row r="26" spans="1:10" s="38" customFormat="1" x14ac:dyDescent="0.35">
      <c r="A26" s="16" t="s">
        <v>274</v>
      </c>
      <c r="B26" s="2" t="s">
        <v>267</v>
      </c>
      <c r="C26" s="2" t="s">
        <v>268</v>
      </c>
      <c r="D26" s="2" t="s">
        <v>269</v>
      </c>
      <c r="E26"/>
    </row>
    <row r="27" spans="1:10" s="38" customFormat="1" x14ac:dyDescent="0.35">
      <c r="A27" s="7" t="s">
        <v>270</v>
      </c>
      <c r="B27" s="78">
        <v>8</v>
      </c>
      <c r="C27" s="24">
        <f>D19</f>
        <v>3.2748513312276701</v>
      </c>
      <c r="D27" s="35">
        <f>C27*B27</f>
        <v>26.198810649821361</v>
      </c>
      <c r="E27"/>
      <c r="G27" s="144"/>
    </row>
    <row r="28" spans="1:10" s="38" customFormat="1" x14ac:dyDescent="0.35">
      <c r="A28" s="7" t="s">
        <v>271</v>
      </c>
      <c r="B28" s="78">
        <v>4</v>
      </c>
      <c r="C28" s="24">
        <f>C27</f>
        <v>3.2748513312276701</v>
      </c>
      <c r="D28" s="35">
        <f>C28*B28</f>
        <v>13.099405324910681</v>
      </c>
      <c r="E28"/>
      <c r="F28"/>
    </row>
    <row r="29" spans="1:10" s="38" customFormat="1" x14ac:dyDescent="0.35">
      <c r="A29" s="7" t="s">
        <v>272</v>
      </c>
      <c r="B29" s="35">
        <f>B27-B28</f>
        <v>4</v>
      </c>
      <c r="C29" s="66">
        <f>(D29/B29)*90%</f>
        <v>5.8947323962098066</v>
      </c>
      <c r="D29" s="35">
        <f>D27</f>
        <v>26.198810649821361</v>
      </c>
      <c r="E29"/>
      <c r="F29" s="83"/>
      <c r="G29"/>
      <c r="H29"/>
    </row>
    <row r="30" spans="1:10" s="38" customFormat="1" x14ac:dyDescent="0.35">
      <c r="A30" s="60"/>
      <c r="B30" s="60"/>
      <c r="C30" s="60"/>
      <c r="D30" s="64"/>
      <c r="E30" s="60"/>
    </row>
    <row r="31" spans="1:10" x14ac:dyDescent="0.35">
      <c r="A31" s="16" t="s">
        <v>275</v>
      </c>
      <c r="B31" s="50" t="s">
        <v>235</v>
      </c>
      <c r="C31" s="45">
        <v>1</v>
      </c>
      <c r="D31" s="45">
        <v>2</v>
      </c>
      <c r="E31" s="45">
        <v>3</v>
      </c>
      <c r="F31" s="45">
        <v>4</v>
      </c>
      <c r="G31" s="46">
        <v>5</v>
      </c>
      <c r="H31" s="46">
        <v>6</v>
      </c>
      <c r="I31" s="46">
        <v>7</v>
      </c>
      <c r="J31" s="46">
        <v>8</v>
      </c>
    </row>
    <row r="32" spans="1:10" x14ac:dyDescent="0.35">
      <c r="A32" s="17" t="s">
        <v>51</v>
      </c>
      <c r="B32" s="53"/>
      <c r="C32" s="24">
        <f>$C$29*C31</f>
        <v>5.8947323962098066</v>
      </c>
      <c r="D32" s="24">
        <f t="shared" ref="D32:J32" si="6">$C$29*D31</f>
        <v>11.789464792419613</v>
      </c>
      <c r="E32" s="24">
        <f t="shared" si="6"/>
        <v>17.684197188629419</v>
      </c>
      <c r="F32" s="24">
        <f t="shared" si="6"/>
        <v>23.578929584839226</v>
      </c>
      <c r="G32" s="24">
        <f t="shared" si="6"/>
        <v>29.473661981049034</v>
      </c>
      <c r="H32" s="24">
        <f t="shared" si="6"/>
        <v>35.368394377258838</v>
      </c>
      <c r="I32" s="24">
        <f t="shared" si="6"/>
        <v>41.263126773468649</v>
      </c>
      <c r="J32" s="24">
        <f t="shared" si="6"/>
        <v>47.157859169678453</v>
      </c>
    </row>
    <row r="33" spans="1:10" x14ac:dyDescent="0.35">
      <c r="A33" s="16" t="s">
        <v>391</v>
      </c>
      <c r="B33" s="54">
        <v>1</v>
      </c>
      <c r="C33" s="24">
        <f>(($C$32+$B$33)+$C$54)*C31</f>
        <v>7.2042058470108215</v>
      </c>
      <c r="D33" s="24">
        <f t="shared" ref="D33:J33" si="7">(($C$32+$B$33)+$C$54)*D31</f>
        <v>14.408411694021643</v>
      </c>
      <c r="E33" s="24">
        <f t="shared" si="7"/>
        <v>21.612617541032463</v>
      </c>
      <c r="F33" s="24">
        <f t="shared" si="7"/>
        <v>28.816823388043286</v>
      </c>
      <c r="G33" s="24">
        <f t="shared" si="7"/>
        <v>36.021029235054108</v>
      </c>
      <c r="H33" s="24">
        <f t="shared" si="7"/>
        <v>43.225235082064927</v>
      </c>
      <c r="I33" s="24">
        <f t="shared" si="7"/>
        <v>50.429440929075753</v>
      </c>
      <c r="J33" s="24">
        <f t="shared" si="7"/>
        <v>57.633646776086572</v>
      </c>
    </row>
    <row r="34" spans="1:10" x14ac:dyDescent="0.35">
      <c r="A34" s="55" t="s">
        <v>380</v>
      </c>
      <c r="B34" s="56"/>
      <c r="C34" s="34">
        <f>C33+(C33*5.5%)</f>
        <v>7.6004371685964163</v>
      </c>
      <c r="D34" s="34">
        <f t="shared" ref="D34:J34" si="8">D33+(D33*5.5%)</f>
        <v>15.200874337192833</v>
      </c>
      <c r="E34" s="34">
        <f t="shared" si="8"/>
        <v>22.801311505789251</v>
      </c>
      <c r="F34" s="34">
        <f t="shared" si="8"/>
        <v>30.401748674385665</v>
      </c>
      <c r="G34" s="34">
        <f t="shared" si="8"/>
        <v>38.002185842982087</v>
      </c>
      <c r="H34" s="34">
        <f t="shared" si="8"/>
        <v>45.602623011578501</v>
      </c>
      <c r="I34" s="34">
        <f t="shared" si="8"/>
        <v>53.203060180174916</v>
      </c>
      <c r="J34" s="34">
        <f t="shared" si="8"/>
        <v>60.80349734877133</v>
      </c>
    </row>
    <row r="35" spans="1:10" s="38" customFormat="1" x14ac:dyDescent="0.35">
      <c r="A35" s="49" t="s">
        <v>233</v>
      </c>
      <c r="B35" s="15"/>
      <c r="C35" s="15"/>
      <c r="D35" s="15"/>
      <c r="E35" s="15"/>
      <c r="F35" s="15"/>
      <c r="G35" s="15"/>
    </row>
    <row r="36" spans="1:10" x14ac:dyDescent="0.35">
      <c r="A36" s="15"/>
      <c r="B36" s="14"/>
      <c r="C36" s="14"/>
      <c r="D36" s="14"/>
      <c r="E36" s="14"/>
    </row>
    <row r="37" spans="1:10" x14ac:dyDescent="0.35">
      <c r="A37" s="16" t="s">
        <v>388</v>
      </c>
      <c r="B37" s="56"/>
      <c r="C37" s="47">
        <v>1</v>
      </c>
      <c r="D37" s="47">
        <v>2</v>
      </c>
      <c r="E37" s="47">
        <v>3</v>
      </c>
      <c r="F37" s="47">
        <v>4</v>
      </c>
      <c r="G37" s="48">
        <v>5</v>
      </c>
      <c r="H37" s="48">
        <v>6</v>
      </c>
      <c r="I37" s="48">
        <v>7</v>
      </c>
      <c r="J37" s="48">
        <v>8</v>
      </c>
    </row>
    <row r="38" spans="1:10" x14ac:dyDescent="0.35">
      <c r="A38" s="17" t="s">
        <v>52</v>
      </c>
      <c r="B38" s="56"/>
      <c r="C38" s="24">
        <f>C32-($C$27*C37)</f>
        <v>2.6198810649821365</v>
      </c>
      <c r="D38" s="24">
        <f t="shared" ref="D38:J38" si="9">D32-($C$27*D37)</f>
        <v>5.2397621299642729</v>
      </c>
      <c r="E38" s="24">
        <f t="shared" si="9"/>
        <v>7.8596431949464076</v>
      </c>
      <c r="F38" s="24">
        <f t="shared" si="9"/>
        <v>10.479524259928546</v>
      </c>
      <c r="G38" s="24">
        <f t="shared" si="9"/>
        <v>13.099405324910684</v>
      </c>
      <c r="H38" s="24">
        <f t="shared" si="9"/>
        <v>15.719286389892815</v>
      </c>
      <c r="I38" s="24">
        <f t="shared" si="9"/>
        <v>18.339167454874957</v>
      </c>
      <c r="J38" s="24">
        <f t="shared" si="9"/>
        <v>20.959048519857092</v>
      </c>
    </row>
    <row r="39" spans="1:10" x14ac:dyDescent="0.35">
      <c r="A39" s="17" t="s">
        <v>53</v>
      </c>
      <c r="B39" s="56"/>
      <c r="C39" s="24">
        <f>C33-C32</f>
        <v>1.3094734508010148</v>
      </c>
      <c r="D39" s="24">
        <f t="shared" ref="D39:J39" si="10">D33-D32</f>
        <v>2.6189469016020297</v>
      </c>
      <c r="E39" s="24">
        <f t="shared" si="10"/>
        <v>3.9284203524030445</v>
      </c>
      <c r="F39" s="24">
        <f t="shared" si="10"/>
        <v>5.2378938032040594</v>
      </c>
      <c r="G39" s="24">
        <f t="shared" si="10"/>
        <v>6.5473672540050742</v>
      </c>
      <c r="H39" s="24">
        <f t="shared" si="10"/>
        <v>7.8568407048060891</v>
      </c>
      <c r="I39" s="24">
        <f t="shared" si="10"/>
        <v>9.1663141556071039</v>
      </c>
      <c r="J39" s="24">
        <f t="shared" si="10"/>
        <v>10.475787606408119</v>
      </c>
    </row>
    <row r="40" spans="1:10" s="38" customFormat="1" x14ac:dyDescent="0.35">
      <c r="A40" s="49" t="s">
        <v>234</v>
      </c>
      <c r="B40" s="15"/>
      <c r="C40" s="15"/>
      <c r="D40" s="15"/>
      <c r="E40" s="15"/>
      <c r="F40" s="15"/>
    </row>
    <row r="42" spans="1:10" x14ac:dyDescent="0.35">
      <c r="A42" s="2" t="s">
        <v>236</v>
      </c>
      <c r="B42" s="56"/>
      <c r="C42" s="47">
        <v>1</v>
      </c>
      <c r="D42" s="47">
        <v>2</v>
      </c>
      <c r="E42" s="47">
        <v>3</v>
      </c>
      <c r="F42" s="47">
        <v>4</v>
      </c>
      <c r="G42" s="48">
        <v>5</v>
      </c>
      <c r="H42" s="48">
        <v>6</v>
      </c>
      <c r="I42" s="48">
        <v>7</v>
      </c>
      <c r="J42" s="48">
        <v>8</v>
      </c>
    </row>
    <row r="43" spans="1:10" x14ac:dyDescent="0.35">
      <c r="A43" s="7" t="s">
        <v>238</v>
      </c>
      <c r="B43" s="56"/>
      <c r="C43" s="59">
        <f>IF($D$27=0,0,(C32)/$D$27)</f>
        <v>0.22500000000000001</v>
      </c>
      <c r="D43" s="59">
        <f t="shared" ref="D43:J43" si="11">IF($D$27=0,0,(D32)/$D$27)</f>
        <v>0.45</v>
      </c>
      <c r="E43" s="59">
        <f t="shared" si="11"/>
        <v>0.67500000000000004</v>
      </c>
      <c r="F43" s="59">
        <f>IF($D$27=0,0,(F32)/$D$27)</f>
        <v>0.9</v>
      </c>
      <c r="G43" s="59">
        <f t="shared" si="11"/>
        <v>1.125</v>
      </c>
      <c r="H43" s="59">
        <f t="shared" si="11"/>
        <v>1.35</v>
      </c>
      <c r="I43" s="59">
        <f t="shared" si="11"/>
        <v>1.5750000000000002</v>
      </c>
      <c r="J43" s="59">
        <f t="shared" si="11"/>
        <v>1.8</v>
      </c>
    </row>
    <row r="44" spans="1:10" x14ac:dyDescent="0.35">
      <c r="A44" s="7" t="s">
        <v>383</v>
      </c>
      <c r="B44" s="56"/>
      <c r="C44" s="24">
        <f>C39</f>
        <v>1.3094734508010148</v>
      </c>
      <c r="D44" s="24">
        <f t="shared" ref="D44:J44" si="12">D39</f>
        <v>2.6189469016020297</v>
      </c>
      <c r="E44" s="24">
        <f t="shared" si="12"/>
        <v>3.9284203524030445</v>
      </c>
      <c r="F44" s="24">
        <f t="shared" si="12"/>
        <v>5.2378938032040594</v>
      </c>
      <c r="G44" s="24">
        <f t="shared" si="12"/>
        <v>6.5473672540050742</v>
      </c>
      <c r="H44" s="24">
        <f t="shared" si="12"/>
        <v>7.8568407048060891</v>
      </c>
      <c r="I44" s="24">
        <f t="shared" si="12"/>
        <v>9.1663141556071039</v>
      </c>
      <c r="J44" s="24">
        <f t="shared" si="12"/>
        <v>10.475787606408119</v>
      </c>
    </row>
    <row r="45" spans="1:10" s="60" customFormat="1" x14ac:dyDescent="0.35">
      <c r="B45" s="57"/>
      <c r="C45" s="15"/>
      <c r="D45" s="15"/>
      <c r="E45" s="15"/>
      <c r="F45" s="15"/>
      <c r="G45" s="15"/>
      <c r="H45" s="15"/>
      <c r="I45" s="15"/>
      <c r="J45" s="15"/>
    </row>
    <row r="46" spans="1:10" s="60" customFormat="1" x14ac:dyDescent="0.35">
      <c r="A46" s="71" t="s">
        <v>384</v>
      </c>
      <c r="B46" s="76"/>
      <c r="C46" s="111"/>
      <c r="D46" s="111"/>
      <c r="E46" s="111"/>
      <c r="F46" s="111"/>
      <c r="G46" s="111"/>
      <c r="H46" s="111"/>
      <c r="I46" s="111"/>
      <c r="J46" s="111"/>
    </row>
    <row r="47" spans="1:10" s="60" customFormat="1" x14ac:dyDescent="0.35">
      <c r="B47" s="57"/>
      <c r="C47" s="15"/>
      <c r="D47" s="15"/>
      <c r="E47" s="15"/>
      <c r="F47" s="15"/>
      <c r="G47" s="15"/>
      <c r="H47" s="15"/>
      <c r="I47" s="15"/>
      <c r="J47" s="15"/>
    </row>
    <row r="48" spans="1:10" s="60" customFormat="1" ht="43.5" x14ac:dyDescent="0.35">
      <c r="A48" s="109" t="s">
        <v>385</v>
      </c>
      <c r="B48" s="112">
        <v>0.15</v>
      </c>
      <c r="C48" s="48">
        <v>1</v>
      </c>
      <c r="D48" s="48">
        <v>2</v>
      </c>
      <c r="E48" s="48">
        <v>3</v>
      </c>
      <c r="F48" s="48">
        <v>4</v>
      </c>
      <c r="G48" s="48">
        <v>5</v>
      </c>
      <c r="H48" s="48">
        <v>6</v>
      </c>
      <c r="I48" s="48">
        <v>7</v>
      </c>
      <c r="J48" s="48">
        <v>8</v>
      </c>
    </row>
    <row r="49" spans="1:10" s="60" customFormat="1" x14ac:dyDescent="0.35">
      <c r="A49" s="11" t="s">
        <v>382</v>
      </c>
      <c r="B49" s="110"/>
      <c r="C49" s="24">
        <f>($C$27-$C$27*5.5%)*C48</f>
        <v>3.0947345080101485</v>
      </c>
      <c r="D49" s="24">
        <f>($C$27-$C$27*5.5%)*D48</f>
        <v>6.189469016020297</v>
      </c>
      <c r="E49" s="24">
        <f t="shared" ref="E49:J49" si="13">($C$27-$C$27*5.5%)*E48</f>
        <v>9.2842035240304455</v>
      </c>
      <c r="F49" s="24">
        <f t="shared" si="13"/>
        <v>12.378938032040594</v>
      </c>
      <c r="G49" s="24">
        <f t="shared" si="13"/>
        <v>15.473672540050742</v>
      </c>
      <c r="H49" s="24">
        <f t="shared" si="13"/>
        <v>18.568407048060891</v>
      </c>
      <c r="I49" s="24">
        <f t="shared" si="13"/>
        <v>21.663141556071039</v>
      </c>
      <c r="J49" s="24">
        <f t="shared" si="13"/>
        <v>24.757876064081188</v>
      </c>
    </row>
    <row r="50" spans="1:10" s="60" customFormat="1" x14ac:dyDescent="0.35">
      <c r="A50" s="11" t="s">
        <v>281</v>
      </c>
      <c r="B50" s="16"/>
      <c r="C50" s="115">
        <f>C49*$B$48</f>
        <v>0.46421017620152227</v>
      </c>
      <c r="D50" s="115">
        <f t="shared" ref="D50:J50" si="14">D49*$B$48</f>
        <v>0.92842035240304455</v>
      </c>
      <c r="E50" s="115">
        <f t="shared" si="14"/>
        <v>1.3926305286045668</v>
      </c>
      <c r="F50" s="115">
        <f t="shared" si="14"/>
        <v>1.8568407048060891</v>
      </c>
      <c r="G50" s="115">
        <f t="shared" si="14"/>
        <v>2.3210508810076114</v>
      </c>
      <c r="H50" s="115">
        <f t="shared" si="14"/>
        <v>2.7852610572091336</v>
      </c>
      <c r="I50" s="115">
        <f t="shared" si="14"/>
        <v>3.2494712334106559</v>
      </c>
      <c r="J50" s="115">
        <f t="shared" si="14"/>
        <v>3.7136814096121782</v>
      </c>
    </row>
    <row r="51" spans="1:10" s="60" customFormat="1" x14ac:dyDescent="0.35">
      <c r="B51" s="57"/>
      <c r="C51" s="114"/>
      <c r="D51" s="114"/>
      <c r="E51" s="114"/>
      <c r="F51" s="114"/>
      <c r="G51" s="114"/>
      <c r="H51" s="114"/>
      <c r="I51" s="114"/>
      <c r="J51" s="114"/>
    </row>
    <row r="52" spans="1:10" s="60" customFormat="1" ht="43.5" x14ac:dyDescent="0.35">
      <c r="A52" s="109" t="s">
        <v>394</v>
      </c>
      <c r="B52" s="112">
        <v>0.1</v>
      </c>
      <c r="C52" s="48">
        <v>1</v>
      </c>
      <c r="D52" s="48">
        <v>2</v>
      </c>
      <c r="E52" s="48">
        <v>3</v>
      </c>
      <c r="F52" s="48">
        <v>4</v>
      </c>
      <c r="G52" s="48">
        <v>5</v>
      </c>
      <c r="H52" s="48">
        <v>6</v>
      </c>
      <c r="I52" s="48">
        <v>7</v>
      </c>
      <c r="J52" s="48">
        <v>8</v>
      </c>
    </row>
    <row r="53" spans="1:10" s="60" customFormat="1" x14ac:dyDescent="0.35">
      <c r="A53" s="11" t="s">
        <v>382</v>
      </c>
      <c r="B53" s="16"/>
      <c r="C53" s="24">
        <f>($C$27-$C$27*5.5%)*C52</f>
        <v>3.0947345080101485</v>
      </c>
      <c r="D53" s="24">
        <f>($C$27-$C$27*5.5%)*D52</f>
        <v>6.189469016020297</v>
      </c>
      <c r="E53" s="24">
        <f t="shared" ref="E53:J53" si="15">($C$27-$C$27*5.5%)*E52</f>
        <v>9.2842035240304455</v>
      </c>
      <c r="F53" s="24">
        <f t="shared" si="15"/>
        <v>12.378938032040594</v>
      </c>
      <c r="G53" s="24">
        <f t="shared" si="15"/>
        <v>15.473672540050742</v>
      </c>
      <c r="H53" s="24">
        <f t="shared" si="15"/>
        <v>18.568407048060891</v>
      </c>
      <c r="I53" s="24">
        <f t="shared" si="15"/>
        <v>21.663141556071039</v>
      </c>
      <c r="J53" s="24">
        <f t="shared" si="15"/>
        <v>24.757876064081188</v>
      </c>
    </row>
    <row r="54" spans="1:10" s="60" customFormat="1" x14ac:dyDescent="0.35">
      <c r="A54" s="11" t="s">
        <v>386</v>
      </c>
      <c r="B54" s="16"/>
      <c r="C54" s="113">
        <f>C53*$B$52</f>
        <v>0.30947345080101485</v>
      </c>
      <c r="D54" s="113">
        <f t="shared" ref="D54:J54" si="16">D53*$B$52</f>
        <v>0.6189469016020297</v>
      </c>
      <c r="E54" s="113">
        <f t="shared" si="16"/>
        <v>0.92842035240304455</v>
      </c>
      <c r="F54" s="113">
        <f t="shared" si="16"/>
        <v>1.2378938032040594</v>
      </c>
      <c r="G54" s="113">
        <f t="shared" si="16"/>
        <v>1.5473672540050742</v>
      </c>
      <c r="H54" s="113">
        <f t="shared" si="16"/>
        <v>1.8568407048060891</v>
      </c>
      <c r="I54" s="113">
        <f t="shared" si="16"/>
        <v>2.1663141556071039</v>
      </c>
      <c r="J54" s="113">
        <f t="shared" si="16"/>
        <v>2.4757876064081188</v>
      </c>
    </row>
    <row r="55" spans="1:10" s="60" customFormat="1" x14ac:dyDescent="0.35">
      <c r="A55" s="11" t="s">
        <v>387</v>
      </c>
      <c r="B55" s="16"/>
      <c r="C55" s="113">
        <f>C44-C54</f>
        <v>1</v>
      </c>
      <c r="D55" s="113">
        <f t="shared" ref="D55:J55" si="17">D44-D54</f>
        <v>2</v>
      </c>
      <c r="E55" s="113">
        <f t="shared" si="17"/>
        <v>3</v>
      </c>
      <c r="F55" s="113">
        <f>F44-F54</f>
        <v>4</v>
      </c>
      <c r="G55" s="113">
        <f t="shared" si="17"/>
        <v>5</v>
      </c>
      <c r="H55" s="113">
        <f t="shared" si="17"/>
        <v>6</v>
      </c>
      <c r="I55" s="113">
        <f t="shared" si="17"/>
        <v>7</v>
      </c>
      <c r="J55" s="113">
        <f t="shared" si="17"/>
        <v>8</v>
      </c>
    </row>
    <row r="57" spans="1:10" x14ac:dyDescent="0.35">
      <c r="A57" s="68" t="s">
        <v>416</v>
      </c>
      <c r="B57" s="67"/>
      <c r="C57" s="67"/>
      <c r="D57" s="67"/>
      <c r="E57" s="67"/>
      <c r="F57" s="67"/>
      <c r="G57" s="67"/>
      <c r="H57" s="67"/>
      <c r="I57" s="67"/>
      <c r="J57" s="67"/>
    </row>
    <row r="59" spans="1:10" x14ac:dyDescent="0.35">
      <c r="A59" s="117" t="s">
        <v>389</v>
      </c>
      <c r="B59" s="118"/>
    </row>
    <row r="60" spans="1:10" x14ac:dyDescent="0.35">
      <c r="A60" s="116" t="s">
        <v>393</v>
      </c>
      <c r="B60" s="145">
        <f>J50</f>
        <v>3.7136814096121782</v>
      </c>
    </row>
    <row r="61" spans="1:10" x14ac:dyDescent="0.35">
      <c r="A61" s="42" t="s">
        <v>392</v>
      </c>
      <c r="B61" s="24">
        <f>F39</f>
        <v>5.2378938032040594</v>
      </c>
    </row>
    <row r="62" spans="1:10" x14ac:dyDescent="0.35">
      <c r="A62" s="120" t="s">
        <v>48</v>
      </c>
      <c r="B62" s="34">
        <f>SUM(B60:B61)</f>
        <v>8.9515752128162376</v>
      </c>
    </row>
    <row r="64" spans="1:10" x14ac:dyDescent="0.35">
      <c r="A64" s="117" t="s">
        <v>390</v>
      </c>
      <c r="B64" s="118"/>
    </row>
    <row r="65" spans="1:10" x14ac:dyDescent="0.35">
      <c r="A65" s="116" t="s">
        <v>393</v>
      </c>
      <c r="B65" s="145">
        <f>J50</f>
        <v>3.7136814096121782</v>
      </c>
    </row>
    <row r="66" spans="1:10" x14ac:dyDescent="0.35">
      <c r="A66" s="42" t="s">
        <v>392</v>
      </c>
      <c r="B66" s="24">
        <f>F55</f>
        <v>4</v>
      </c>
    </row>
    <row r="67" spans="1:10" x14ac:dyDescent="0.35">
      <c r="A67" s="120" t="s">
        <v>48</v>
      </c>
      <c r="B67" s="34">
        <f>SUM(B65:B66)</f>
        <v>7.7136814096121782</v>
      </c>
    </row>
    <row r="69" spans="1:10" x14ac:dyDescent="0.35">
      <c r="A69" s="68" t="s">
        <v>422</v>
      </c>
      <c r="B69" s="67"/>
      <c r="C69" s="67"/>
      <c r="D69" s="67"/>
      <c r="E69" s="67"/>
      <c r="F69" s="67"/>
      <c r="G69" s="67"/>
      <c r="H69" s="67"/>
      <c r="I69" s="67"/>
      <c r="J69" s="67"/>
    </row>
    <row r="71" spans="1:10" x14ac:dyDescent="0.35">
      <c r="A71" s="117" t="s">
        <v>389</v>
      </c>
      <c r="B71" s="118"/>
    </row>
    <row r="72" spans="1:10" x14ac:dyDescent="0.35">
      <c r="A72" s="42" t="s">
        <v>405</v>
      </c>
      <c r="B72" s="24">
        <f>D27</f>
        <v>26.198810649821361</v>
      </c>
    </row>
    <row r="73" spans="1:10" x14ac:dyDescent="0.35">
      <c r="A73" s="116" t="s">
        <v>393</v>
      </c>
      <c r="B73" s="145">
        <f>0-J50</f>
        <v>-3.7136814096121782</v>
      </c>
    </row>
    <row r="74" spans="1:10" x14ac:dyDescent="0.35">
      <c r="A74" s="120" t="s">
        <v>48</v>
      </c>
      <c r="B74" s="34">
        <f>SUM(B72:B73)</f>
        <v>22.485129240209183</v>
      </c>
    </row>
    <row r="76" spans="1:10" x14ac:dyDescent="0.35">
      <c r="A76" s="133" t="s">
        <v>390</v>
      </c>
      <c r="B76" s="134"/>
    </row>
    <row r="77" spans="1:10" x14ac:dyDescent="0.35">
      <c r="A77" s="42" t="s">
        <v>405</v>
      </c>
      <c r="B77" s="24">
        <f>D27</f>
        <v>26.198810649821361</v>
      </c>
    </row>
    <row r="78" spans="1:10" x14ac:dyDescent="0.35">
      <c r="A78" s="42" t="s">
        <v>393</v>
      </c>
      <c r="B78" s="24">
        <f>0-J50</f>
        <v>-3.7136814096121782</v>
      </c>
    </row>
    <row r="79" spans="1:10" x14ac:dyDescent="0.35">
      <c r="A79" s="42" t="s">
        <v>406</v>
      </c>
      <c r="B79" s="24">
        <f>F54</f>
        <v>1.2378938032040594</v>
      </c>
    </row>
    <row r="80" spans="1:10" x14ac:dyDescent="0.35">
      <c r="A80" s="120" t="s">
        <v>48</v>
      </c>
      <c r="B80" s="34">
        <f>SUM(B77:B79)</f>
        <v>23.723023043413242</v>
      </c>
    </row>
    <row r="81" spans="1:2" s="40" customFormat="1" x14ac:dyDescent="0.35">
      <c r="A81" s="121"/>
      <c r="B81" s="122"/>
    </row>
    <row r="82" spans="1:2" s="40" customFormat="1" x14ac:dyDescent="0.35">
      <c r="A82" s="121"/>
      <c r="B82" s="122"/>
    </row>
    <row r="83" spans="1:2" s="40" customFormat="1" x14ac:dyDescent="0.35">
      <c r="A83" s="37" t="s">
        <v>96</v>
      </c>
      <c r="B83" s="122"/>
    </row>
    <row r="84" spans="1:2" s="40" customFormat="1" x14ac:dyDescent="0.35">
      <c r="A84" s="121"/>
      <c r="B84" s="122"/>
    </row>
    <row r="85" spans="1:2" x14ac:dyDescent="0.35">
      <c r="A85" s="2" t="s">
        <v>67</v>
      </c>
      <c r="B85" s="7"/>
    </row>
    <row r="86" spans="1:2" x14ac:dyDescent="0.35">
      <c r="A86" s="7" t="s">
        <v>116</v>
      </c>
      <c r="B86" s="7"/>
    </row>
    <row r="87" spans="1:2" x14ac:dyDescent="0.35">
      <c r="A87" s="7" t="s">
        <v>140</v>
      </c>
      <c r="B87" s="7"/>
    </row>
    <row r="89" spans="1:2" x14ac:dyDescent="0.35">
      <c r="A89" s="39" t="s">
        <v>115</v>
      </c>
      <c r="B89" s="40"/>
    </row>
  </sheetData>
  <conditionalFormatting sqref="C43:J43">
    <cfRule type="cellIs" dxfId="120" priority="7" operator="greaterThanOrEqual">
      <formula>1</formula>
    </cfRule>
    <cfRule type="cellIs" dxfId="119" priority="8" operator="between">
      <formula>0.5</formula>
      <formula>1</formula>
    </cfRule>
  </conditionalFormatting>
  <conditionalFormatting sqref="C44:J44">
    <cfRule type="cellIs" dxfId="118" priority="5" operator="between">
      <formula>2</formula>
      <formula>4</formula>
    </cfRule>
    <cfRule type="cellIs" dxfId="117" priority="6" operator="greaterThanOrEqual">
      <formula>4</formula>
    </cfRule>
  </conditionalFormatting>
  <conditionalFormatting sqref="C54:J54">
    <cfRule type="cellIs" dxfId="116" priority="4" operator="greaterThanOrEqual">
      <formula>$J$50</formula>
    </cfRule>
  </conditionalFormatting>
  <conditionalFormatting sqref="C55:J55">
    <cfRule type="cellIs" dxfId="115" priority="2" operator="between">
      <formula>2</formula>
      <formula>4</formula>
    </cfRule>
    <cfRule type="cellIs" dxfId="114" priority="3" operator="greaterThanOrEqual">
      <formula>4</formula>
    </cfRule>
  </conditionalFormatting>
  <conditionalFormatting sqref="C50:J50">
    <cfRule type="cellIs" dxfId="113" priority="1" operator="greaterThanOrEqual">
      <formula>0.5</formula>
    </cfRule>
  </conditionalFormatting>
  <dataValidations count="1">
    <dataValidation type="list" allowBlank="1" showInputMessage="1" showErrorMessage="1" sqref="F6 A6:A17">
      <formula1>Ingrédients_recettes</formula1>
    </dataValidation>
  </dataValidations>
  <pageMargins left="0.7" right="0.7" top="0.75" bottom="0.75" header="0.3" footer="0.3"/>
  <pageSetup paperSize="9" scale="59" orientation="portrait" horizontalDpi="4294967293" verticalDpi="4294967293"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99"/>
  <sheetViews>
    <sheetView workbookViewId="0">
      <selection activeCell="C13" sqref="C13"/>
    </sheetView>
  </sheetViews>
  <sheetFormatPr baseColWidth="10" defaultRowHeight="14.5" x14ac:dyDescent="0.35"/>
  <cols>
    <col min="1" max="1" width="31.36328125" bestFit="1" customWidth="1"/>
    <col min="2" max="2" width="14.6328125" bestFit="1" customWidth="1"/>
    <col min="3" max="3" width="13.1796875" bestFit="1" customWidth="1"/>
    <col min="4" max="4" width="14.36328125" bestFit="1" customWidth="1"/>
    <col min="5" max="5" width="10.1796875" bestFit="1" customWidth="1"/>
    <col min="6" max="6" width="10" customWidth="1"/>
    <col min="7" max="7" width="9.81640625" customWidth="1"/>
    <col min="10" max="10" width="19.1796875" bestFit="1" customWidth="1"/>
    <col min="11" max="11" width="13.36328125" bestFit="1" customWidth="1"/>
  </cols>
  <sheetData>
    <row r="1" spans="1:11" x14ac:dyDescent="0.35">
      <c r="A1" s="43" t="s">
        <v>347</v>
      </c>
      <c r="B1" s="44"/>
      <c r="C1" s="44"/>
      <c r="D1" s="44"/>
      <c r="E1" s="44"/>
      <c r="F1" s="44"/>
      <c r="G1" s="44"/>
      <c r="H1" s="63"/>
      <c r="J1" s="7" t="s">
        <v>283</v>
      </c>
      <c r="K1" s="7"/>
    </row>
    <row r="2" spans="1:11" s="38" customFormat="1" x14ac:dyDescent="0.35">
      <c r="A2" s="73"/>
      <c r="B2" s="74"/>
      <c r="C2" s="74"/>
      <c r="D2" s="74"/>
      <c r="E2" s="74"/>
      <c r="F2" s="74"/>
      <c r="G2" s="74"/>
      <c r="J2" s="11" t="s">
        <v>281</v>
      </c>
      <c r="K2" s="11" t="s">
        <v>284</v>
      </c>
    </row>
    <row r="3" spans="1:11" s="38" customFormat="1" x14ac:dyDescent="0.35">
      <c r="A3" s="68" t="s">
        <v>276</v>
      </c>
      <c r="B3" s="75"/>
      <c r="C3" s="75"/>
      <c r="D3" s="75"/>
      <c r="E3" s="75"/>
      <c r="F3" s="75"/>
      <c r="G3" s="75"/>
      <c r="H3" s="67"/>
    </row>
    <row r="5" spans="1:11" x14ac:dyDescent="0.35">
      <c r="A5" s="2" t="s">
        <v>68</v>
      </c>
      <c r="B5" s="2" t="s">
        <v>41</v>
      </c>
      <c r="C5" s="2" t="s">
        <v>42</v>
      </c>
      <c r="D5" s="2" t="s">
        <v>40</v>
      </c>
    </row>
    <row r="6" spans="1:11" x14ac:dyDescent="0.35">
      <c r="A6" s="7" t="s">
        <v>221</v>
      </c>
      <c r="B6" s="6">
        <f>0.3</f>
        <v>0.3</v>
      </c>
      <c r="C6" s="31">
        <f t="shared" ref="C6:C14" si="0">IF(ISERROR(VLOOKUP(A6,Tableau_produits,6,FALSE)),0,VLOOKUP(A6,Tableau_produits,6,FALSE))</f>
        <v>10.966666666666667</v>
      </c>
      <c r="D6" s="32">
        <f>C6*B6</f>
        <v>3.29</v>
      </c>
    </row>
    <row r="7" spans="1:11" x14ac:dyDescent="0.35">
      <c r="A7" s="7" t="s">
        <v>516</v>
      </c>
      <c r="B7" s="6">
        <f>0.1</f>
        <v>0.1</v>
      </c>
      <c r="C7" s="31">
        <f t="shared" si="0"/>
        <v>3.2584269662921348</v>
      </c>
      <c r="D7" s="32">
        <f>C7*B7</f>
        <v>0.3258426966292135</v>
      </c>
    </row>
    <row r="8" spans="1:11" x14ac:dyDescent="0.35">
      <c r="A8" s="7" t="s">
        <v>105</v>
      </c>
      <c r="B8" s="6">
        <f>0.1</f>
        <v>0.1</v>
      </c>
      <c r="C8" s="31">
        <f t="shared" si="0"/>
        <v>3.1006493506493507</v>
      </c>
      <c r="D8" s="32">
        <f>C8*B8</f>
        <v>0.3100649350649351</v>
      </c>
    </row>
    <row r="9" spans="1:11" x14ac:dyDescent="0.35">
      <c r="A9" s="7" t="s">
        <v>222</v>
      </c>
      <c r="B9" s="27">
        <f>0.212</f>
        <v>0.21199999999999999</v>
      </c>
      <c r="C9" s="31">
        <f t="shared" si="0"/>
        <v>9.9056603773584921</v>
      </c>
      <c r="D9" s="32">
        <f t="shared" ref="D9:D14" si="1">C9*B9</f>
        <v>2.1</v>
      </c>
    </row>
    <row r="10" spans="1:11" x14ac:dyDescent="0.35">
      <c r="A10" s="7" t="s">
        <v>137</v>
      </c>
      <c r="B10" s="6">
        <f>0.1</f>
        <v>0.1</v>
      </c>
      <c r="C10" s="31">
        <f t="shared" si="0"/>
        <v>5.3166666666666655</v>
      </c>
      <c r="D10" s="32">
        <f t="shared" si="1"/>
        <v>0.53166666666666662</v>
      </c>
    </row>
    <row r="11" spans="1:11" x14ac:dyDescent="0.35">
      <c r="A11" s="7" t="s">
        <v>112</v>
      </c>
      <c r="B11" s="10">
        <f>0.0005</f>
        <v>5.0000000000000001E-4</v>
      </c>
      <c r="C11" s="31">
        <f t="shared" si="0"/>
        <v>56.000000000000007</v>
      </c>
      <c r="D11" s="32">
        <f t="shared" si="1"/>
        <v>2.8000000000000004E-2</v>
      </c>
    </row>
    <row r="12" spans="1:11" x14ac:dyDescent="0.35">
      <c r="A12" s="7" t="s">
        <v>224</v>
      </c>
      <c r="B12" s="10">
        <f>0.0005</f>
        <v>5.0000000000000001E-4</v>
      </c>
      <c r="C12" s="31">
        <f t="shared" si="0"/>
        <v>85.428571428571431</v>
      </c>
      <c r="D12" s="32">
        <f t="shared" si="1"/>
        <v>4.2714285714285719E-2</v>
      </c>
    </row>
    <row r="13" spans="1:11" x14ac:dyDescent="0.35">
      <c r="A13" s="7" t="s">
        <v>136</v>
      </c>
      <c r="B13" s="10">
        <f>0.0005</f>
        <v>5.0000000000000001E-4</v>
      </c>
      <c r="C13" s="31">
        <f t="shared" si="0"/>
        <v>94.199999999999989</v>
      </c>
      <c r="D13" s="33">
        <f t="shared" si="1"/>
        <v>4.7099999999999996E-2</v>
      </c>
      <c r="F13" s="10">
        <f>0.001</f>
        <v>1E-3</v>
      </c>
    </row>
    <row r="14" spans="1:11" x14ac:dyDescent="0.35">
      <c r="A14" s="7" t="s">
        <v>111</v>
      </c>
      <c r="B14" s="10">
        <f>0.001</f>
        <v>1E-3</v>
      </c>
      <c r="C14" s="31">
        <f t="shared" si="0"/>
        <v>4.9800000000000004</v>
      </c>
      <c r="D14" s="33">
        <f t="shared" si="1"/>
        <v>4.9800000000000009E-3</v>
      </c>
      <c r="F14" s="10">
        <f>0.0005</f>
        <v>5.0000000000000001E-4</v>
      </c>
    </row>
    <row r="15" spans="1:11" x14ac:dyDescent="0.35">
      <c r="A15" s="13" t="s">
        <v>48</v>
      </c>
      <c r="B15" s="13"/>
      <c r="C15" s="13"/>
      <c r="D15" s="34">
        <f>SUM(D6:D14)</f>
        <v>6.6803685840751008</v>
      </c>
    </row>
    <row r="16" spans="1:11" x14ac:dyDescent="0.35">
      <c r="A16" s="34" t="str">
        <f>"Coût par portion ("&amp;ROUND(C19*1000,0)&amp;"g)"</f>
        <v>Coût par portion (0g)</v>
      </c>
      <c r="B16" s="13"/>
      <c r="C16" s="13"/>
      <c r="D16" s="34">
        <f>IF(E19=0,0,D15/E19)</f>
        <v>3.3401842920375504</v>
      </c>
    </row>
    <row r="18" spans="1:10" ht="43.5" x14ac:dyDescent="0.35">
      <c r="A18" s="2" t="s">
        <v>90</v>
      </c>
      <c r="B18" s="28" t="s">
        <v>91</v>
      </c>
      <c r="C18" s="28" t="s">
        <v>94</v>
      </c>
      <c r="D18" s="28" t="s">
        <v>92</v>
      </c>
      <c r="E18" s="28" t="s">
        <v>95</v>
      </c>
    </row>
    <row r="19" spans="1:10" x14ac:dyDescent="0.35">
      <c r="A19" s="7" t="s">
        <v>93</v>
      </c>
      <c r="B19" s="7"/>
      <c r="C19" s="7">
        <v>0</v>
      </c>
      <c r="D19" s="30">
        <v>2</v>
      </c>
      <c r="E19" s="35">
        <f>TRUNC(D19)</f>
        <v>2</v>
      </c>
    </row>
    <row r="20" spans="1:10" s="38" customFormat="1" x14ac:dyDescent="0.35">
      <c r="A20" s="60"/>
      <c r="B20" s="60"/>
      <c r="C20" s="60"/>
      <c r="D20" s="64"/>
      <c r="E20" s="60"/>
    </row>
    <row r="21" spans="1:10" s="38" customFormat="1" x14ac:dyDescent="0.35">
      <c r="A21" s="71" t="s">
        <v>277</v>
      </c>
      <c r="B21" s="69"/>
      <c r="C21" s="69"/>
      <c r="D21" s="70"/>
      <c r="E21" s="69"/>
      <c r="F21" s="67"/>
      <c r="G21" s="67"/>
      <c r="H21" s="67"/>
    </row>
    <row r="22" spans="1:10" s="38" customFormat="1" x14ac:dyDescent="0.35">
      <c r="A22" s="60"/>
      <c r="B22" s="60"/>
      <c r="C22" s="60"/>
      <c r="D22" s="64"/>
      <c r="E22" s="60"/>
    </row>
    <row r="23" spans="1:10" x14ac:dyDescent="0.35">
      <c r="A23" s="16" t="s">
        <v>274</v>
      </c>
      <c r="B23" s="2" t="s">
        <v>267</v>
      </c>
      <c r="C23" s="2" t="s">
        <v>268</v>
      </c>
      <c r="D23" s="2" t="s">
        <v>269</v>
      </c>
    </row>
    <row r="24" spans="1:10" x14ac:dyDescent="0.35">
      <c r="A24" s="7" t="s">
        <v>270</v>
      </c>
      <c r="B24" s="78">
        <v>8</v>
      </c>
      <c r="C24" s="24">
        <f>D16</f>
        <v>3.3401842920375504</v>
      </c>
      <c r="D24" s="35">
        <f>C24*B24</f>
        <v>26.721474336300403</v>
      </c>
    </row>
    <row r="25" spans="1:10" x14ac:dyDescent="0.35">
      <c r="A25" s="7" t="s">
        <v>271</v>
      </c>
      <c r="B25" s="78">
        <v>4</v>
      </c>
      <c r="C25" s="24">
        <f>C24</f>
        <v>3.3401842920375504</v>
      </c>
      <c r="D25" s="35">
        <f>C25*B25</f>
        <v>13.360737168150202</v>
      </c>
    </row>
    <row r="26" spans="1:10" x14ac:dyDescent="0.35">
      <c r="A26" s="7" t="s">
        <v>272</v>
      </c>
      <c r="B26" s="35">
        <f>B24-B25</f>
        <v>4</v>
      </c>
      <c r="C26" s="66">
        <f>(D26/B26)*90%</f>
        <v>6.0123317256675906</v>
      </c>
      <c r="D26" s="35">
        <f>D24</f>
        <v>26.721474336300403</v>
      </c>
      <c r="F26" s="83"/>
    </row>
    <row r="28" spans="1:10" x14ac:dyDescent="0.35">
      <c r="A28" s="16" t="s">
        <v>275</v>
      </c>
      <c r="B28" s="50" t="s">
        <v>235</v>
      </c>
      <c r="C28" s="2">
        <v>1</v>
      </c>
      <c r="D28" s="2">
        <v>2</v>
      </c>
      <c r="E28" s="2">
        <v>3</v>
      </c>
      <c r="F28" s="2">
        <v>4</v>
      </c>
      <c r="G28" s="23">
        <v>5</v>
      </c>
      <c r="H28" s="23">
        <v>6</v>
      </c>
      <c r="I28" s="23">
        <v>7</v>
      </c>
      <c r="J28" s="23">
        <v>8</v>
      </c>
    </row>
    <row r="29" spans="1:10" x14ac:dyDescent="0.35">
      <c r="A29" s="17" t="s">
        <v>51</v>
      </c>
      <c r="B29" s="53"/>
      <c r="C29" s="24">
        <f>$C$26*C28</f>
        <v>6.0123317256675906</v>
      </c>
      <c r="D29" s="24">
        <f t="shared" ref="D29:J29" si="2">$C$26*D28</f>
        <v>12.024663451335181</v>
      </c>
      <c r="E29" s="24">
        <f t="shared" si="2"/>
        <v>18.036995177002773</v>
      </c>
      <c r="F29" s="24">
        <f t="shared" si="2"/>
        <v>24.049326902670362</v>
      </c>
      <c r="G29" s="24">
        <f t="shared" si="2"/>
        <v>30.061658628337952</v>
      </c>
      <c r="H29" s="24">
        <f t="shared" si="2"/>
        <v>36.073990354005545</v>
      </c>
      <c r="I29" s="24">
        <f t="shared" si="2"/>
        <v>42.086322079673131</v>
      </c>
      <c r="J29" s="24">
        <f t="shared" si="2"/>
        <v>48.098653805340724</v>
      </c>
    </row>
    <row r="30" spans="1:10" x14ac:dyDescent="0.35">
      <c r="A30" s="16" t="s">
        <v>391</v>
      </c>
      <c r="B30" s="65">
        <v>1</v>
      </c>
      <c r="C30" s="34">
        <f>(($C$29+$B$30)+$C$50)*C28</f>
        <v>7.3279791412651392</v>
      </c>
      <c r="D30" s="34">
        <f t="shared" ref="D30:J30" si="3">(($C$29+$B$30)+$C$50)*D28</f>
        <v>14.655958282530278</v>
      </c>
      <c r="E30" s="34">
        <f t="shared" si="3"/>
        <v>21.983937423795417</v>
      </c>
      <c r="F30" s="34">
        <f t="shared" si="3"/>
        <v>29.311916565060557</v>
      </c>
      <c r="G30" s="34">
        <f t="shared" si="3"/>
        <v>36.639895706325696</v>
      </c>
      <c r="H30" s="34">
        <f t="shared" si="3"/>
        <v>43.967874847590835</v>
      </c>
      <c r="I30" s="34">
        <f t="shared" si="3"/>
        <v>51.295853988855974</v>
      </c>
      <c r="J30" s="34">
        <f t="shared" si="3"/>
        <v>58.623833130121113</v>
      </c>
    </row>
    <row r="31" spans="1:10" ht="29" x14ac:dyDescent="0.35">
      <c r="A31" s="55" t="s">
        <v>380</v>
      </c>
      <c r="B31" s="56"/>
      <c r="C31" s="34">
        <f>C30+(C30*5.5%)</f>
        <v>7.7310179940347217</v>
      </c>
      <c r="D31" s="34">
        <f t="shared" ref="D31:J31" si="4">D30+(D30*5.5%)</f>
        <v>15.462035988069443</v>
      </c>
      <c r="E31" s="34">
        <f t="shared" si="4"/>
        <v>23.193053982104164</v>
      </c>
      <c r="F31" s="34">
        <f t="shared" si="4"/>
        <v>30.924071976138887</v>
      </c>
      <c r="G31" s="34">
        <f t="shared" si="4"/>
        <v>38.655089970173606</v>
      </c>
      <c r="H31" s="34">
        <f t="shared" si="4"/>
        <v>46.386107964208328</v>
      </c>
      <c r="I31" s="34">
        <f t="shared" si="4"/>
        <v>54.117125958243051</v>
      </c>
      <c r="J31" s="34">
        <f t="shared" si="4"/>
        <v>61.848143952277773</v>
      </c>
    </row>
    <row r="32" spans="1:10" x14ac:dyDescent="0.35">
      <c r="A32" s="49" t="s">
        <v>233</v>
      </c>
      <c r="B32" s="15"/>
      <c r="C32" s="15"/>
      <c r="D32" s="15"/>
      <c r="E32" s="15"/>
      <c r="F32" s="15"/>
      <c r="G32" s="15"/>
      <c r="H32" s="38"/>
      <c r="I32" s="38"/>
      <c r="J32" s="38"/>
    </row>
    <row r="33" spans="1:10" x14ac:dyDescent="0.35">
      <c r="A33" s="15"/>
      <c r="B33" s="15"/>
      <c r="C33" s="14"/>
      <c r="D33" s="14"/>
      <c r="E33" s="14"/>
      <c r="F33" s="14"/>
    </row>
    <row r="34" spans="1:10" x14ac:dyDescent="0.35">
      <c r="A34" s="16" t="s">
        <v>49</v>
      </c>
      <c r="B34" s="56"/>
      <c r="C34" s="18">
        <v>1</v>
      </c>
      <c r="D34" s="18">
        <v>2</v>
      </c>
      <c r="E34" s="18">
        <v>3</v>
      </c>
      <c r="F34" s="18">
        <v>4</v>
      </c>
      <c r="G34" s="25">
        <v>5</v>
      </c>
      <c r="H34" s="25">
        <v>6</v>
      </c>
      <c r="I34" s="25">
        <v>7</v>
      </c>
      <c r="J34" s="25">
        <v>8</v>
      </c>
    </row>
    <row r="35" spans="1:10" x14ac:dyDescent="0.35">
      <c r="A35" s="17" t="s">
        <v>52</v>
      </c>
      <c r="B35" s="56"/>
      <c r="C35" s="24">
        <f>C29-($C$24*C34)</f>
        <v>2.6721474336300401</v>
      </c>
      <c r="D35" s="24">
        <f t="shared" ref="D35:H35" si="5">D29-($C$24*D34)</f>
        <v>5.3442948672600803</v>
      </c>
      <c r="E35" s="24">
        <f t="shared" si="5"/>
        <v>8.0164423008901213</v>
      </c>
      <c r="F35" s="24">
        <f t="shared" si="5"/>
        <v>10.688589734520161</v>
      </c>
      <c r="G35" s="24">
        <f t="shared" si="5"/>
        <v>13.360737168150202</v>
      </c>
      <c r="H35" s="24">
        <f t="shared" si="5"/>
        <v>16.032884601780243</v>
      </c>
      <c r="I35" s="24">
        <f t="shared" ref="I35:J35" si="6">I29-($C$24*I34)</f>
        <v>18.705032035410277</v>
      </c>
      <c r="J35" s="24">
        <f t="shared" si="6"/>
        <v>21.377179469040321</v>
      </c>
    </row>
    <row r="36" spans="1:10" x14ac:dyDescent="0.35">
      <c r="A36" s="17" t="s">
        <v>53</v>
      </c>
      <c r="B36" s="56"/>
      <c r="C36" s="24">
        <f>C30-C29</f>
        <v>1.3156474155975486</v>
      </c>
      <c r="D36" s="24">
        <f t="shared" ref="D36:G36" si="7">D30-D29</f>
        <v>2.6312948311950972</v>
      </c>
      <c r="E36" s="24">
        <f t="shared" si="7"/>
        <v>3.9469422467926449</v>
      </c>
      <c r="F36" s="24">
        <f t="shared" si="7"/>
        <v>5.2625896623901944</v>
      </c>
      <c r="G36" s="24">
        <f t="shared" si="7"/>
        <v>6.5782370779877439</v>
      </c>
      <c r="H36" s="24">
        <f t="shared" ref="H36:J36" si="8">H30-H29</f>
        <v>7.8938844935852899</v>
      </c>
      <c r="I36" s="24">
        <f t="shared" si="8"/>
        <v>9.2095319091828429</v>
      </c>
      <c r="J36" s="24">
        <f t="shared" si="8"/>
        <v>10.525179324780389</v>
      </c>
    </row>
    <row r="38" spans="1:10" x14ac:dyDescent="0.35">
      <c r="A38" s="2" t="s">
        <v>236</v>
      </c>
      <c r="B38" s="56"/>
      <c r="C38" s="47">
        <v>1</v>
      </c>
      <c r="D38" s="47">
        <v>2</v>
      </c>
      <c r="E38" s="47">
        <v>3</v>
      </c>
      <c r="F38" s="47">
        <v>4</v>
      </c>
      <c r="G38" s="48">
        <v>5</v>
      </c>
      <c r="H38" s="48">
        <v>6</v>
      </c>
      <c r="I38" s="48">
        <v>7</v>
      </c>
      <c r="J38" s="48">
        <v>8</v>
      </c>
    </row>
    <row r="39" spans="1:10" x14ac:dyDescent="0.35">
      <c r="A39" s="19" t="s">
        <v>238</v>
      </c>
      <c r="B39" s="56"/>
      <c r="C39" s="59">
        <f>IF($D$24=0,0,(C29)/$D$24)</f>
        <v>0.22500000000000001</v>
      </c>
      <c r="D39" s="59">
        <f t="shared" ref="D39:H39" si="9">IF($D$24=0,0,(D29)/$D$24)</f>
        <v>0.45</v>
      </c>
      <c r="E39" s="59">
        <f t="shared" si="9"/>
        <v>0.67500000000000004</v>
      </c>
      <c r="F39" s="59">
        <f t="shared" si="9"/>
        <v>0.9</v>
      </c>
      <c r="G39" s="59">
        <f t="shared" si="9"/>
        <v>1.125</v>
      </c>
      <c r="H39" s="59">
        <f t="shared" si="9"/>
        <v>1.35</v>
      </c>
      <c r="I39" s="59">
        <f t="shared" ref="I39:J39" si="10">IF($D$24=0,0,(I29)/$D$24)</f>
        <v>1.575</v>
      </c>
      <c r="J39" s="59">
        <f t="shared" si="10"/>
        <v>1.8</v>
      </c>
    </row>
    <row r="40" spans="1:10" x14ac:dyDescent="0.35">
      <c r="A40" s="7" t="s">
        <v>237</v>
      </c>
      <c r="B40" s="56"/>
      <c r="C40" s="24">
        <f>C36</f>
        <v>1.3156474155975486</v>
      </c>
      <c r="D40" s="24">
        <f>D36</f>
        <v>2.6312948311950972</v>
      </c>
      <c r="E40" s="24">
        <f t="shared" ref="E40:H40" si="11">E36</f>
        <v>3.9469422467926449</v>
      </c>
      <c r="F40" s="24">
        <f t="shared" si="11"/>
        <v>5.2625896623901944</v>
      </c>
      <c r="G40" s="24">
        <f t="shared" si="11"/>
        <v>6.5782370779877439</v>
      </c>
      <c r="H40" s="24">
        <f t="shared" si="11"/>
        <v>7.8938844935852899</v>
      </c>
      <c r="I40" s="24">
        <f t="shared" ref="I40:J40" si="12">I36</f>
        <v>9.2095319091828429</v>
      </c>
      <c r="J40" s="24">
        <f t="shared" si="12"/>
        <v>10.525179324780389</v>
      </c>
    </row>
    <row r="42" spans="1:10" s="60" customFormat="1" x14ac:dyDescent="0.35">
      <c r="A42" s="71" t="s">
        <v>384</v>
      </c>
      <c r="B42" s="76"/>
      <c r="C42" s="111"/>
      <c r="D42" s="111"/>
      <c r="E42" s="111"/>
      <c r="F42" s="111"/>
      <c r="G42" s="111"/>
      <c r="H42" s="111"/>
      <c r="I42" s="111"/>
      <c r="J42" s="111"/>
    </row>
    <row r="43" spans="1:10" s="60" customFormat="1" x14ac:dyDescent="0.35">
      <c r="B43" s="57"/>
      <c r="C43" s="15"/>
      <c r="D43" s="15"/>
      <c r="E43" s="15"/>
      <c r="F43" s="15"/>
      <c r="G43" s="15"/>
      <c r="H43" s="15"/>
      <c r="I43" s="15"/>
      <c r="J43" s="15"/>
    </row>
    <row r="44" spans="1:10" s="60" customFormat="1" ht="43.5" x14ac:dyDescent="0.35">
      <c r="A44" s="109" t="s">
        <v>385</v>
      </c>
      <c r="B44" s="112">
        <v>0.15</v>
      </c>
      <c r="C44" s="48">
        <v>1</v>
      </c>
      <c r="D44" s="48">
        <v>2</v>
      </c>
      <c r="E44" s="48">
        <v>3</v>
      </c>
      <c r="F44" s="48">
        <v>4</v>
      </c>
      <c r="G44" s="48">
        <v>5</v>
      </c>
      <c r="H44" s="48">
        <v>6</v>
      </c>
      <c r="I44" s="48">
        <v>7</v>
      </c>
      <c r="J44" s="48">
        <v>8</v>
      </c>
    </row>
    <row r="45" spans="1:10" s="60" customFormat="1" x14ac:dyDescent="0.35">
      <c r="A45" s="11" t="s">
        <v>382</v>
      </c>
      <c r="B45" s="110"/>
      <c r="C45" s="24">
        <f>($C$24-$C$24*5.5%)*C44</f>
        <v>3.1564741559754852</v>
      </c>
      <c r="D45" s="24">
        <f t="shared" ref="D45:J45" si="13">($C$24-$C$24*5.5%)*D44</f>
        <v>6.3129483119509704</v>
      </c>
      <c r="E45" s="24">
        <f t="shared" si="13"/>
        <v>9.4694224679264565</v>
      </c>
      <c r="F45" s="24">
        <f t="shared" si="13"/>
        <v>12.625896623901941</v>
      </c>
      <c r="G45" s="24">
        <f t="shared" si="13"/>
        <v>15.782370779877425</v>
      </c>
      <c r="H45" s="24">
        <f t="shared" si="13"/>
        <v>18.938844935852913</v>
      </c>
      <c r="I45" s="24">
        <f t="shared" si="13"/>
        <v>22.095319091828397</v>
      </c>
      <c r="J45" s="24">
        <f t="shared" si="13"/>
        <v>25.251793247803882</v>
      </c>
    </row>
    <row r="46" spans="1:10" s="60" customFormat="1" x14ac:dyDescent="0.35">
      <c r="A46" s="11" t="s">
        <v>281</v>
      </c>
      <c r="B46" s="16"/>
      <c r="C46" s="115">
        <f>C45*$B$44</f>
        <v>0.47347112339632275</v>
      </c>
      <c r="D46" s="115">
        <f t="shared" ref="D46:J46" si="14">D45*$B$44</f>
        <v>0.94694224679264549</v>
      </c>
      <c r="E46" s="115">
        <f t="shared" si="14"/>
        <v>1.4204133701889685</v>
      </c>
      <c r="F46" s="115">
        <f t="shared" si="14"/>
        <v>1.893884493585291</v>
      </c>
      <c r="G46" s="115">
        <f t="shared" si="14"/>
        <v>2.3673556169816137</v>
      </c>
      <c r="H46" s="115">
        <f t="shared" si="14"/>
        <v>2.840826740377937</v>
      </c>
      <c r="I46" s="115">
        <f t="shared" si="14"/>
        <v>3.3142978637742595</v>
      </c>
      <c r="J46" s="115">
        <f t="shared" si="14"/>
        <v>3.787768987170582</v>
      </c>
    </row>
    <row r="47" spans="1:10" s="60" customFormat="1" x14ac:dyDescent="0.35">
      <c r="B47" s="57"/>
      <c r="C47" s="114"/>
      <c r="D47" s="114"/>
      <c r="E47" s="114"/>
      <c r="F47" s="114"/>
      <c r="G47" s="114"/>
      <c r="H47" s="114"/>
      <c r="I47" s="114"/>
      <c r="J47" s="114"/>
    </row>
    <row r="48" spans="1:10" s="60" customFormat="1" ht="58" x14ac:dyDescent="0.35">
      <c r="A48" s="109" t="s">
        <v>394</v>
      </c>
      <c r="B48" s="112">
        <v>0.1</v>
      </c>
      <c r="C48" s="48">
        <v>1</v>
      </c>
      <c r="D48" s="48">
        <v>2</v>
      </c>
      <c r="E48" s="48">
        <v>3</v>
      </c>
      <c r="F48" s="48">
        <v>4</v>
      </c>
      <c r="G48" s="48">
        <v>5</v>
      </c>
      <c r="H48" s="48">
        <v>6</v>
      </c>
      <c r="I48" s="48">
        <v>7</v>
      </c>
      <c r="J48" s="48">
        <v>8</v>
      </c>
    </row>
    <row r="49" spans="1:10" s="60" customFormat="1" x14ac:dyDescent="0.35">
      <c r="A49" s="11" t="s">
        <v>382</v>
      </c>
      <c r="B49" s="16"/>
      <c r="C49" s="24">
        <f>($C$24-$C$24*5.5%)*C48</f>
        <v>3.1564741559754852</v>
      </c>
      <c r="D49" s="24">
        <f t="shared" ref="D49:J49" si="15">($C$24-$C$24*5.5%)*D48</f>
        <v>6.3129483119509704</v>
      </c>
      <c r="E49" s="24">
        <f t="shared" si="15"/>
        <v>9.4694224679264565</v>
      </c>
      <c r="F49" s="24">
        <f t="shared" si="15"/>
        <v>12.625896623901941</v>
      </c>
      <c r="G49" s="24">
        <f t="shared" si="15"/>
        <v>15.782370779877425</v>
      </c>
      <c r="H49" s="24">
        <f t="shared" si="15"/>
        <v>18.938844935852913</v>
      </c>
      <c r="I49" s="24">
        <f t="shared" si="15"/>
        <v>22.095319091828397</v>
      </c>
      <c r="J49" s="24">
        <f t="shared" si="15"/>
        <v>25.251793247803882</v>
      </c>
    </row>
    <row r="50" spans="1:10" s="60" customFormat="1" x14ac:dyDescent="0.35">
      <c r="A50" s="11" t="s">
        <v>386</v>
      </c>
      <c r="B50" s="16"/>
      <c r="C50" s="113">
        <f>C49*$B$48</f>
        <v>0.31564741559754855</v>
      </c>
      <c r="D50" s="113">
        <f t="shared" ref="D50:J50" si="16">D49*$B$48</f>
        <v>0.63129483119509711</v>
      </c>
      <c r="E50" s="113">
        <f t="shared" si="16"/>
        <v>0.94694224679264571</v>
      </c>
      <c r="F50" s="113">
        <f t="shared" si="16"/>
        <v>1.2625896623901942</v>
      </c>
      <c r="G50" s="113">
        <f t="shared" si="16"/>
        <v>1.5782370779877426</v>
      </c>
      <c r="H50" s="113">
        <f t="shared" si="16"/>
        <v>1.8938844935852914</v>
      </c>
      <c r="I50" s="113">
        <f t="shared" si="16"/>
        <v>2.2095319091828398</v>
      </c>
      <c r="J50" s="113">
        <f t="shared" si="16"/>
        <v>2.5251793247803884</v>
      </c>
    </row>
    <row r="51" spans="1:10" s="60" customFormat="1" x14ac:dyDescent="0.35">
      <c r="A51" s="11" t="s">
        <v>387</v>
      </c>
      <c r="B51" s="16"/>
      <c r="C51" s="113">
        <f>C40-C50</f>
        <v>1</v>
      </c>
      <c r="D51" s="113">
        <f t="shared" ref="D51:J51" si="17">D40-D50</f>
        <v>2</v>
      </c>
      <c r="E51" s="113">
        <f t="shared" si="17"/>
        <v>2.9999999999999991</v>
      </c>
      <c r="F51" s="113">
        <f t="shared" si="17"/>
        <v>4</v>
      </c>
      <c r="G51" s="113">
        <f t="shared" si="17"/>
        <v>5.0000000000000018</v>
      </c>
      <c r="H51" s="113">
        <f t="shared" si="17"/>
        <v>5.9999999999999982</v>
      </c>
      <c r="I51" s="113">
        <f t="shared" si="17"/>
        <v>7.0000000000000036</v>
      </c>
      <c r="J51" s="113">
        <f t="shared" si="17"/>
        <v>8</v>
      </c>
    </row>
    <row r="53" spans="1:10" x14ac:dyDescent="0.35">
      <c r="A53" s="68" t="s">
        <v>416</v>
      </c>
      <c r="B53" s="67"/>
      <c r="C53" s="67"/>
      <c r="D53" s="67"/>
      <c r="E53" s="67"/>
      <c r="F53" s="67"/>
      <c r="G53" s="67"/>
      <c r="H53" s="67"/>
      <c r="I53" s="67"/>
      <c r="J53" s="67"/>
    </row>
    <row r="55" spans="1:10" x14ac:dyDescent="0.35">
      <c r="A55" s="117" t="s">
        <v>389</v>
      </c>
      <c r="B55" s="118"/>
    </row>
    <row r="56" spans="1:10" ht="29" x14ac:dyDescent="0.35">
      <c r="A56" s="116" t="s">
        <v>393</v>
      </c>
      <c r="B56" s="119">
        <f>J46</f>
        <v>3.787768987170582</v>
      </c>
    </row>
    <row r="57" spans="1:10" x14ac:dyDescent="0.35">
      <c r="A57" s="42" t="s">
        <v>392</v>
      </c>
      <c r="B57" s="91">
        <f>F40</f>
        <v>5.2625896623901944</v>
      </c>
    </row>
    <row r="58" spans="1:10" x14ac:dyDescent="0.35">
      <c r="A58" s="120" t="s">
        <v>48</v>
      </c>
      <c r="B58" s="13">
        <f>SUM(B56:B57)</f>
        <v>9.050358649560776</v>
      </c>
    </row>
    <row r="60" spans="1:10" x14ac:dyDescent="0.35">
      <c r="A60" s="117" t="s">
        <v>390</v>
      </c>
      <c r="B60" s="118"/>
    </row>
    <row r="61" spans="1:10" ht="29" x14ac:dyDescent="0.35">
      <c r="A61" s="116" t="s">
        <v>393</v>
      </c>
      <c r="B61" s="119">
        <f>J46</f>
        <v>3.787768987170582</v>
      </c>
    </row>
    <row r="62" spans="1:10" x14ac:dyDescent="0.35">
      <c r="A62" s="42" t="s">
        <v>392</v>
      </c>
      <c r="B62" s="91">
        <f>F51</f>
        <v>4</v>
      </c>
    </row>
    <row r="63" spans="1:10" x14ac:dyDescent="0.35">
      <c r="A63" s="120" t="s">
        <v>48</v>
      </c>
      <c r="B63" s="13">
        <f>SUM(B61:B62)</f>
        <v>7.7877689871705815</v>
      </c>
    </row>
    <row r="65" spans="1:10" x14ac:dyDescent="0.35">
      <c r="A65" s="68" t="s">
        <v>422</v>
      </c>
      <c r="B65" s="67"/>
      <c r="C65" s="67"/>
      <c r="D65" s="67"/>
      <c r="E65" s="67"/>
      <c r="F65" s="67"/>
      <c r="G65" s="67"/>
      <c r="H65" s="67"/>
      <c r="I65" s="67"/>
      <c r="J65" s="67"/>
    </row>
    <row r="67" spans="1:10" x14ac:dyDescent="0.35">
      <c r="A67" s="117" t="s">
        <v>389</v>
      </c>
      <c r="B67" s="118"/>
    </row>
    <row r="68" spans="1:10" x14ac:dyDescent="0.35">
      <c r="A68" s="42" t="s">
        <v>405</v>
      </c>
      <c r="B68" s="91">
        <f>D24</f>
        <v>26.721474336300403</v>
      </c>
    </row>
    <row r="69" spans="1:10" ht="29" x14ac:dyDescent="0.35">
      <c r="A69" s="116" t="s">
        <v>393</v>
      </c>
      <c r="B69" s="119">
        <f>0-J46</f>
        <v>-3.787768987170582</v>
      </c>
    </row>
    <row r="70" spans="1:10" x14ac:dyDescent="0.35">
      <c r="A70" s="120" t="s">
        <v>48</v>
      </c>
      <c r="B70" s="13">
        <f>SUM(B68:B69)</f>
        <v>22.93370534912982</v>
      </c>
    </row>
    <row r="72" spans="1:10" x14ac:dyDescent="0.35">
      <c r="A72" s="133" t="s">
        <v>390</v>
      </c>
      <c r="B72" s="134"/>
    </row>
    <row r="73" spans="1:10" x14ac:dyDescent="0.35">
      <c r="A73" s="42" t="s">
        <v>405</v>
      </c>
      <c r="B73" s="91">
        <f>D24</f>
        <v>26.721474336300403</v>
      </c>
    </row>
    <row r="74" spans="1:10" ht="29" x14ac:dyDescent="0.35">
      <c r="A74" s="42" t="s">
        <v>393</v>
      </c>
      <c r="B74" s="91">
        <f>0-J46</f>
        <v>-3.787768987170582</v>
      </c>
    </row>
    <row r="75" spans="1:10" x14ac:dyDescent="0.35">
      <c r="A75" s="42" t="s">
        <v>406</v>
      </c>
      <c r="B75" s="91">
        <f>F50</f>
        <v>1.2625896623901942</v>
      </c>
    </row>
    <row r="76" spans="1:10" x14ac:dyDescent="0.35">
      <c r="A76" s="120" t="s">
        <v>48</v>
      </c>
      <c r="B76" s="13">
        <f>SUM(B73:B75)</f>
        <v>24.196295011520014</v>
      </c>
    </row>
    <row r="79" spans="1:10" ht="29" x14ac:dyDescent="0.35">
      <c r="A79" s="37" t="s">
        <v>96</v>
      </c>
      <c r="B79" s="38"/>
    </row>
    <row r="82" spans="1:2" x14ac:dyDescent="0.35">
      <c r="A82" s="2" t="s">
        <v>67</v>
      </c>
      <c r="B82" s="7"/>
    </row>
    <row r="83" spans="1:2" x14ac:dyDescent="0.35">
      <c r="A83" s="7" t="s">
        <v>116</v>
      </c>
      <c r="B83" s="7">
        <v>15</v>
      </c>
    </row>
    <row r="84" spans="1:2" x14ac:dyDescent="0.35">
      <c r="A84" s="7" t="s">
        <v>140</v>
      </c>
      <c r="B84" s="7">
        <v>0</v>
      </c>
    </row>
    <row r="86" spans="1:2" x14ac:dyDescent="0.35">
      <c r="A86" s="39" t="s">
        <v>115</v>
      </c>
      <c r="B86" s="40"/>
    </row>
    <row r="88" spans="1:2" x14ac:dyDescent="0.35">
      <c r="A88" t="s">
        <v>226</v>
      </c>
    </row>
    <row r="89" spans="1:2" x14ac:dyDescent="0.35">
      <c r="A89" t="s">
        <v>225</v>
      </c>
    </row>
    <row r="90" spans="1:2" x14ac:dyDescent="0.35">
      <c r="A90" t="s">
        <v>227</v>
      </c>
    </row>
    <row r="91" spans="1:2" x14ac:dyDescent="0.35">
      <c r="A91" t="s">
        <v>228</v>
      </c>
    </row>
    <row r="92" spans="1:2" x14ac:dyDescent="0.35">
      <c r="A92" t="s">
        <v>229</v>
      </c>
    </row>
    <row r="94" spans="1:2" x14ac:dyDescent="0.35">
      <c r="A94" t="s">
        <v>230</v>
      </c>
    </row>
    <row r="96" spans="1:2" x14ac:dyDescent="0.35">
      <c r="A96" s="1" t="s">
        <v>129</v>
      </c>
    </row>
    <row r="98" spans="1:11" ht="31" customHeight="1" x14ac:dyDescent="0.35">
      <c r="A98" s="155" t="s">
        <v>231</v>
      </c>
      <c r="B98" s="155"/>
      <c r="C98" s="155"/>
      <c r="D98" s="155"/>
      <c r="E98" s="155"/>
      <c r="F98" s="155"/>
      <c r="G98" s="155"/>
      <c r="H98" s="155"/>
      <c r="I98" s="155"/>
      <c r="J98" s="155"/>
      <c r="K98" s="155"/>
    </row>
    <row r="99" spans="1:11" x14ac:dyDescent="0.35">
      <c r="A99" t="s">
        <v>232</v>
      </c>
    </row>
  </sheetData>
  <mergeCells count="1">
    <mergeCell ref="A98:K98"/>
  </mergeCells>
  <phoneticPr fontId="5" type="noConversion"/>
  <conditionalFormatting sqref="C40:J40">
    <cfRule type="cellIs" dxfId="112" priority="8" operator="greaterThanOrEqual">
      <formula>4</formula>
    </cfRule>
    <cfRule type="cellIs" dxfId="111" priority="9" operator="greaterThanOrEqual">
      <formula>2</formula>
    </cfRule>
  </conditionalFormatting>
  <conditionalFormatting sqref="C39:J39">
    <cfRule type="cellIs" dxfId="110" priority="6" operator="greaterThanOrEqual">
      <formula>1</formula>
    </cfRule>
    <cfRule type="cellIs" dxfId="109" priority="7" operator="between">
      <formula>0.5</formula>
      <formula>1</formula>
    </cfRule>
  </conditionalFormatting>
  <conditionalFormatting sqref="C50:J50">
    <cfRule type="cellIs" dxfId="108" priority="1" operator="greaterThanOrEqual">
      <formula>$J$46</formula>
    </cfRule>
  </conditionalFormatting>
  <conditionalFormatting sqref="C51:J51">
    <cfRule type="cellIs" dxfId="107" priority="3" operator="between">
      <formula>2</formula>
      <formula>4</formula>
    </cfRule>
    <cfRule type="cellIs" dxfId="106" priority="4" operator="greaterThanOrEqual">
      <formula>4</formula>
    </cfRule>
  </conditionalFormatting>
  <conditionalFormatting sqref="C46:J46">
    <cfRule type="cellIs" dxfId="105" priority="2" operator="greaterThanOrEqual">
      <formula>0.5</formula>
    </cfRule>
  </conditionalFormatting>
  <dataValidations count="1">
    <dataValidation type="list" allowBlank="1" showInputMessage="1" showErrorMessage="1" sqref="F6 A6:A14">
      <formula1>Ingrédients_recettes</formula1>
    </dataValidation>
  </dataValidations>
  <pageMargins left="0.7" right="0.7" top="0.75" bottom="0.75" header="0.3" footer="0.3"/>
  <pageSetup paperSize="9" scale="52" orientation="portrait" horizontalDpi="4294967293" verticalDpi="4294967293"/>
  <extLst>
    <ext xmlns:mx="http://schemas.microsoft.com/office/mac/excel/2008/main" uri="{64002731-A6B0-56B0-2670-7721B7C09600}">
      <mx:PLV Mode="0" OnePage="0" WScale="10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9"/>
  <sheetViews>
    <sheetView topLeftCell="A9" workbookViewId="0">
      <selection activeCell="B15" sqref="B15:B16"/>
    </sheetView>
  </sheetViews>
  <sheetFormatPr baseColWidth="10" defaultRowHeight="14.5" x14ac:dyDescent="0.35"/>
  <cols>
    <col min="1" max="1" width="34.1796875" customWidth="1"/>
    <col min="2" max="2" width="14.6328125" bestFit="1" customWidth="1"/>
    <col min="3" max="3" width="13.1796875" bestFit="1" customWidth="1"/>
    <col min="4" max="4" width="14.36328125" bestFit="1" customWidth="1"/>
    <col min="5" max="5" width="10.1796875" bestFit="1" customWidth="1"/>
    <col min="6" max="6" width="10" customWidth="1"/>
    <col min="7" max="7" width="9.81640625" customWidth="1"/>
  </cols>
  <sheetData>
    <row r="1" spans="1:8" x14ac:dyDescent="0.35">
      <c r="A1" s="84" t="s">
        <v>357</v>
      </c>
      <c r="B1" s="100"/>
      <c r="C1" s="85"/>
      <c r="D1" s="85"/>
      <c r="E1" s="85"/>
      <c r="F1" s="85"/>
      <c r="G1" s="85"/>
      <c r="H1" s="63"/>
    </row>
    <row r="2" spans="1:8" s="38" customFormat="1" x14ac:dyDescent="0.35">
      <c r="A2" s="73"/>
      <c r="B2" s="74"/>
      <c r="C2" s="74"/>
      <c r="D2" s="74"/>
      <c r="E2" s="74"/>
      <c r="F2" s="74"/>
      <c r="G2" s="74"/>
    </row>
    <row r="3" spans="1:8" s="38" customFormat="1" x14ac:dyDescent="0.35">
      <c r="A3" s="68" t="s">
        <v>276</v>
      </c>
      <c r="B3" s="75"/>
      <c r="C3" s="75"/>
      <c r="D3" s="75"/>
      <c r="E3" s="67"/>
      <c r="F3" s="67"/>
      <c r="G3" s="67"/>
      <c r="H3" s="67"/>
    </row>
    <row r="5" spans="1:8" x14ac:dyDescent="0.35">
      <c r="A5" s="2" t="s">
        <v>68</v>
      </c>
      <c r="B5" s="2" t="s">
        <v>41</v>
      </c>
      <c r="C5" s="2" t="s">
        <v>42</v>
      </c>
      <c r="D5" s="2" t="s">
        <v>40</v>
      </c>
    </row>
    <row r="6" spans="1:8" x14ac:dyDescent="0.35">
      <c r="A6" s="7" t="s">
        <v>359</v>
      </c>
      <c r="B6" s="6">
        <v>0.5</v>
      </c>
      <c r="C6" s="31">
        <f t="shared" ref="C6:C16" si="0">IF(ISERROR(VLOOKUP(A6,Tableau_produits,6,FALSE)),0,VLOOKUP(A6,Tableau_produits,6,FALSE))</f>
        <v>3.5</v>
      </c>
      <c r="D6" s="32">
        <f>C6*B6</f>
        <v>1.75</v>
      </c>
    </row>
    <row r="7" spans="1:8" x14ac:dyDescent="0.35">
      <c r="A7" s="7" t="s">
        <v>360</v>
      </c>
      <c r="B7" s="6">
        <v>0.02</v>
      </c>
      <c r="C7" s="31">
        <f t="shared" si="0"/>
        <v>25.75</v>
      </c>
      <c r="D7" s="32">
        <f>C7*B7</f>
        <v>0.51500000000000001</v>
      </c>
    </row>
    <row r="8" spans="1:8" x14ac:dyDescent="0.35">
      <c r="A8" s="7" t="s">
        <v>361</v>
      </c>
      <c r="B8" s="6">
        <v>0.4</v>
      </c>
      <c r="C8" s="31">
        <f t="shared" si="0"/>
        <v>7.375</v>
      </c>
      <c r="D8" s="32">
        <f t="shared" ref="D8:D17" si="1">C8*B8</f>
        <v>2.95</v>
      </c>
    </row>
    <row r="9" spans="1:8" x14ac:dyDescent="0.35">
      <c r="A9" s="7" t="s">
        <v>362</v>
      </c>
      <c r="B9" s="6">
        <v>5.5E-2</v>
      </c>
      <c r="C9" s="31">
        <f t="shared" si="0"/>
        <v>29.92</v>
      </c>
      <c r="D9" s="32">
        <f t="shared" si="1"/>
        <v>1.6456000000000002</v>
      </c>
    </row>
    <row r="10" spans="1:8" x14ac:dyDescent="0.35">
      <c r="A10" s="7" t="s">
        <v>323</v>
      </c>
      <c r="B10" s="10">
        <v>0.38400000000000001</v>
      </c>
      <c r="C10" s="31">
        <f t="shared" si="0"/>
        <v>24.114285714285714</v>
      </c>
      <c r="D10" s="32">
        <f t="shared" si="1"/>
        <v>9.2598857142857138</v>
      </c>
    </row>
    <row r="11" spans="1:8" x14ac:dyDescent="0.35">
      <c r="A11" s="7" t="s">
        <v>317</v>
      </c>
      <c r="B11" s="22">
        <v>0.4</v>
      </c>
      <c r="C11" s="31">
        <f t="shared" si="0"/>
        <v>4.6999999999999993</v>
      </c>
      <c r="D11" s="32">
        <f t="shared" si="1"/>
        <v>1.88</v>
      </c>
    </row>
    <row r="12" spans="1:8" x14ac:dyDescent="0.35">
      <c r="A12" s="7" t="s">
        <v>363</v>
      </c>
      <c r="B12" s="21">
        <v>0.02</v>
      </c>
      <c r="C12" s="31">
        <f t="shared" si="0"/>
        <v>20.3448275862069</v>
      </c>
      <c r="D12" s="33">
        <f t="shared" si="1"/>
        <v>0.40689655172413802</v>
      </c>
    </row>
    <row r="13" spans="1:8" x14ac:dyDescent="0.35">
      <c r="A13" s="7" t="s">
        <v>365</v>
      </c>
      <c r="B13" s="21">
        <v>0.01</v>
      </c>
      <c r="C13" s="31">
        <f>IF(ISERROR(VLOOKUP(A13,Tableau_produits,6,FALSE)),0,VLOOKUP(A13,Tableau_produits,6,FALSE))</f>
        <v>83.2</v>
      </c>
      <c r="D13" s="33">
        <f t="shared" ref="D13" si="2">C13*B13</f>
        <v>0.83200000000000007</v>
      </c>
    </row>
    <row r="14" spans="1:8" x14ac:dyDescent="0.35">
      <c r="A14" s="7" t="s">
        <v>296</v>
      </c>
      <c r="B14" s="21">
        <v>1</v>
      </c>
      <c r="C14" s="31">
        <f t="shared" si="0"/>
        <v>0.75</v>
      </c>
      <c r="D14" s="33">
        <f t="shared" si="1"/>
        <v>0.75</v>
      </c>
    </row>
    <row r="15" spans="1:8" x14ac:dyDescent="0.35">
      <c r="A15" s="7" t="s">
        <v>111</v>
      </c>
      <c r="B15" s="10">
        <f>0.001</f>
        <v>1E-3</v>
      </c>
      <c r="C15" s="31">
        <f t="shared" ref="C15" si="3">IF(ISERROR(VLOOKUP(A15,Tableau_produits,6,FALSE)),0,VLOOKUP(A15,Tableau_produits,6,FALSE))</f>
        <v>4.9800000000000004</v>
      </c>
      <c r="D15" s="33">
        <f t="shared" ref="D15" si="4">C15*B15</f>
        <v>4.9800000000000009E-3</v>
      </c>
    </row>
    <row r="16" spans="1:8" x14ac:dyDescent="0.35">
      <c r="A16" s="7" t="s">
        <v>136</v>
      </c>
      <c r="B16" s="10">
        <f>0.0005</f>
        <v>5.0000000000000001E-4</v>
      </c>
      <c r="C16" s="31">
        <f t="shared" si="0"/>
        <v>94.199999999999989</v>
      </c>
      <c r="D16" s="33">
        <f t="shared" si="1"/>
        <v>4.7099999999999996E-2</v>
      </c>
    </row>
    <row r="17" spans="1:10" x14ac:dyDescent="0.35">
      <c r="A17" s="7" t="s">
        <v>367</v>
      </c>
      <c r="B17" s="21">
        <f>0.07*6</f>
        <v>0.42000000000000004</v>
      </c>
      <c r="C17" s="31">
        <f>IF(ISERROR(VLOOKUP(A17,Tableau_produits,6,FALSE)),0,VLOOKUP(A17,Tableau_produits,6,FALSE))</f>
        <v>5.4</v>
      </c>
      <c r="D17" s="33">
        <f t="shared" si="1"/>
        <v>2.2680000000000002</v>
      </c>
    </row>
    <row r="18" spans="1:10" x14ac:dyDescent="0.35">
      <c r="A18" s="13" t="s">
        <v>48</v>
      </c>
      <c r="B18" s="13"/>
      <c r="C18" s="13"/>
      <c r="D18" s="34">
        <f>SUM(D6:D17)</f>
        <v>22.309462266009852</v>
      </c>
    </row>
    <row r="19" spans="1:10" x14ac:dyDescent="0.35">
      <c r="A19" s="34" t="str">
        <f>"Coût par portion ("&amp;ROUND(C22*1000,0)&amp;"g)"</f>
        <v>Coût par portion (0g)</v>
      </c>
      <c r="B19" s="13"/>
      <c r="C19" s="13"/>
      <c r="D19" s="34">
        <f>IF(E22=0,0,D18/E22)</f>
        <v>3.7182437110016422</v>
      </c>
    </row>
    <row r="21" spans="1:10" ht="43.5" x14ac:dyDescent="0.35">
      <c r="A21" s="2" t="s">
        <v>90</v>
      </c>
      <c r="B21" s="28" t="s">
        <v>91</v>
      </c>
      <c r="C21" s="28" t="s">
        <v>94</v>
      </c>
      <c r="D21" s="28" t="s">
        <v>92</v>
      </c>
      <c r="E21" s="28" t="s">
        <v>95</v>
      </c>
    </row>
    <row r="22" spans="1:10" x14ac:dyDescent="0.35">
      <c r="A22" s="7" t="s">
        <v>93</v>
      </c>
      <c r="B22" s="7"/>
      <c r="C22" s="7">
        <v>0</v>
      </c>
      <c r="D22" s="30">
        <v>6</v>
      </c>
      <c r="E22" s="35">
        <f>TRUNC(D22)</f>
        <v>6</v>
      </c>
    </row>
    <row r="23" spans="1:10" s="38" customFormat="1" x14ac:dyDescent="0.35">
      <c r="A23" s="60"/>
      <c r="B23" s="60"/>
      <c r="C23" s="60"/>
      <c r="D23" s="64"/>
      <c r="E23" s="60"/>
    </row>
    <row r="24" spans="1:10" s="38" customFormat="1" x14ac:dyDescent="0.35">
      <c r="A24" s="71" t="s">
        <v>277</v>
      </c>
      <c r="B24" s="69"/>
      <c r="C24" s="81"/>
      <c r="D24" s="70"/>
      <c r="E24" s="69"/>
      <c r="F24" s="67"/>
      <c r="G24" s="67"/>
      <c r="H24" s="67"/>
    </row>
    <row r="25" spans="1:10" s="38" customFormat="1" x14ac:dyDescent="0.35">
      <c r="A25" s="60"/>
      <c r="B25" s="60"/>
      <c r="C25" s="60"/>
      <c r="D25" s="64"/>
      <c r="E25" s="60"/>
    </row>
    <row r="26" spans="1:10" s="38" customFormat="1" x14ac:dyDescent="0.35">
      <c r="A26" s="16" t="s">
        <v>273</v>
      </c>
      <c r="B26" s="2" t="s">
        <v>267</v>
      </c>
      <c r="C26" s="2" t="s">
        <v>268</v>
      </c>
      <c r="D26" s="2" t="s">
        <v>269</v>
      </c>
      <c r="E26" s="60"/>
    </row>
    <row r="27" spans="1:10" s="38" customFormat="1" x14ac:dyDescent="0.35">
      <c r="A27" s="7" t="s">
        <v>278</v>
      </c>
      <c r="B27" s="78">
        <v>8</v>
      </c>
      <c r="C27" s="24">
        <f>D19</f>
        <v>3.7182437110016422</v>
      </c>
      <c r="D27" s="35">
        <f>C27*B27</f>
        <v>29.745949688013138</v>
      </c>
      <c r="E27" s="60"/>
    </row>
    <row r="28" spans="1:10" s="38" customFormat="1" x14ac:dyDescent="0.35">
      <c r="A28" s="7" t="s">
        <v>279</v>
      </c>
      <c r="B28" s="79">
        <v>4</v>
      </c>
      <c r="C28" s="24">
        <f>C27</f>
        <v>3.7182437110016422</v>
      </c>
      <c r="D28" s="35">
        <f>C28*B28</f>
        <v>14.872974844006569</v>
      </c>
      <c r="E28" s="60"/>
    </row>
    <row r="29" spans="1:10" s="38" customFormat="1" x14ac:dyDescent="0.35">
      <c r="A29" s="7" t="s">
        <v>280</v>
      </c>
      <c r="B29" s="72">
        <f>B27-B28</f>
        <v>4</v>
      </c>
      <c r="C29" s="66">
        <f>(D29/B29)*90%</f>
        <v>6.6928386798029562</v>
      </c>
      <c r="D29" s="35">
        <f>D27</f>
        <v>29.745949688013138</v>
      </c>
      <c r="E29" s="60"/>
      <c r="F29" s="83"/>
    </row>
    <row r="31" spans="1:10" x14ac:dyDescent="0.35">
      <c r="A31" s="16" t="s">
        <v>275</v>
      </c>
      <c r="B31" s="50" t="s">
        <v>235</v>
      </c>
      <c r="C31" s="45">
        <v>1</v>
      </c>
      <c r="D31" s="45">
        <v>2</v>
      </c>
      <c r="E31" s="45">
        <v>3</v>
      </c>
      <c r="F31" s="45">
        <v>4</v>
      </c>
      <c r="G31" s="46">
        <v>5</v>
      </c>
      <c r="H31" s="46">
        <v>6</v>
      </c>
      <c r="I31" s="46">
        <v>7</v>
      </c>
      <c r="J31" s="46">
        <v>8</v>
      </c>
    </row>
    <row r="32" spans="1:10" x14ac:dyDescent="0.35">
      <c r="A32" s="17" t="s">
        <v>51</v>
      </c>
      <c r="B32" s="53"/>
      <c r="C32" s="24">
        <f>$C$29*C31</f>
        <v>6.6928386798029562</v>
      </c>
      <c r="D32" s="24">
        <f t="shared" ref="D32:J32" si="5">$C$29*D31</f>
        <v>13.385677359605912</v>
      </c>
      <c r="E32" s="24">
        <f t="shared" si="5"/>
        <v>20.078516039408868</v>
      </c>
      <c r="F32" s="24">
        <f t="shared" si="5"/>
        <v>26.771354719211825</v>
      </c>
      <c r="G32" s="24">
        <f t="shared" si="5"/>
        <v>33.464193399014782</v>
      </c>
      <c r="H32" s="24">
        <f t="shared" si="5"/>
        <v>40.157032078817736</v>
      </c>
      <c r="I32" s="24">
        <f t="shared" si="5"/>
        <v>46.849870758620696</v>
      </c>
      <c r="J32" s="24">
        <f t="shared" si="5"/>
        <v>53.54270943842365</v>
      </c>
    </row>
    <row r="33" spans="1:10" x14ac:dyDescent="0.35">
      <c r="A33" s="16" t="s">
        <v>391</v>
      </c>
      <c r="B33" s="54">
        <v>1</v>
      </c>
      <c r="C33" s="24">
        <f>(($C$32+$B$33)+$C$54)*C31</f>
        <v>8.0442127104926122</v>
      </c>
      <c r="D33" s="24">
        <f t="shared" ref="D33:J33" si="6">(($C$32+$B$33)+$C$54)*D31</f>
        <v>16.088425420985224</v>
      </c>
      <c r="E33" s="24">
        <f t="shared" si="6"/>
        <v>24.132638131477837</v>
      </c>
      <c r="F33" s="24">
        <f t="shared" si="6"/>
        <v>32.176850841970449</v>
      </c>
      <c r="G33" s="24">
        <f t="shared" si="6"/>
        <v>40.221063552463065</v>
      </c>
      <c r="H33" s="24">
        <f t="shared" si="6"/>
        <v>48.265276262955673</v>
      </c>
      <c r="I33" s="24">
        <f t="shared" si="6"/>
        <v>56.309488973448282</v>
      </c>
      <c r="J33" s="24">
        <f t="shared" si="6"/>
        <v>64.353701683940898</v>
      </c>
    </row>
    <row r="34" spans="1:10" x14ac:dyDescent="0.35">
      <c r="A34" s="55" t="s">
        <v>380</v>
      </c>
      <c r="B34" s="56"/>
      <c r="C34" s="34">
        <f>C33+(C33*5.5%)</f>
        <v>8.4866444095697062</v>
      </c>
      <c r="D34" s="34">
        <f t="shared" ref="D34:J34" si="7">D33+(D33*5.5%)</f>
        <v>16.973288819139412</v>
      </c>
      <c r="E34" s="34">
        <f t="shared" si="7"/>
        <v>25.459933228709119</v>
      </c>
      <c r="F34" s="34">
        <f t="shared" si="7"/>
        <v>33.946577638278825</v>
      </c>
      <c r="G34" s="34">
        <f t="shared" si="7"/>
        <v>42.433222047848531</v>
      </c>
      <c r="H34" s="34">
        <f t="shared" si="7"/>
        <v>50.919866457418237</v>
      </c>
      <c r="I34" s="34">
        <f t="shared" si="7"/>
        <v>59.406510866987936</v>
      </c>
      <c r="J34" s="34">
        <f t="shared" si="7"/>
        <v>67.89315527655765</v>
      </c>
    </row>
    <row r="35" spans="1:10" s="38" customFormat="1" x14ac:dyDescent="0.35">
      <c r="A35" s="49" t="s">
        <v>233</v>
      </c>
      <c r="B35" s="15"/>
      <c r="C35" s="15"/>
      <c r="D35" s="15"/>
      <c r="E35" s="15"/>
      <c r="F35" s="15"/>
      <c r="G35" s="15"/>
    </row>
    <row r="36" spans="1:10" x14ac:dyDescent="0.35">
      <c r="A36" s="15"/>
      <c r="B36" s="14"/>
      <c r="C36" s="14"/>
      <c r="D36" s="14"/>
      <c r="E36" s="14"/>
    </row>
    <row r="37" spans="1:10" x14ac:dyDescent="0.35">
      <c r="A37" s="16" t="s">
        <v>49</v>
      </c>
      <c r="B37" s="56"/>
      <c r="C37" s="47">
        <v>1</v>
      </c>
      <c r="D37" s="47">
        <v>2</v>
      </c>
      <c r="E37" s="47">
        <v>3</v>
      </c>
      <c r="F37" s="47">
        <v>4</v>
      </c>
      <c r="G37" s="48">
        <v>5</v>
      </c>
      <c r="H37" s="48">
        <v>6</v>
      </c>
      <c r="I37" s="48">
        <v>7</v>
      </c>
      <c r="J37" s="48">
        <v>8</v>
      </c>
    </row>
    <row r="38" spans="1:10" x14ac:dyDescent="0.35">
      <c r="A38" s="17" t="s">
        <v>52</v>
      </c>
      <c r="B38" s="56"/>
      <c r="C38" s="24">
        <f>C32-($C$27*C37)</f>
        <v>2.974594968801314</v>
      </c>
      <c r="D38" s="24">
        <f t="shared" ref="D38:H38" si="8">D32-($C$27*D37)</f>
        <v>5.949189937602628</v>
      </c>
      <c r="E38" s="24">
        <f t="shared" si="8"/>
        <v>8.9237849064039416</v>
      </c>
      <c r="F38" s="24">
        <f t="shared" si="8"/>
        <v>11.898379875205256</v>
      </c>
      <c r="G38" s="24">
        <f t="shared" si="8"/>
        <v>14.872974844006571</v>
      </c>
      <c r="H38" s="24">
        <f t="shared" si="8"/>
        <v>17.847569812807883</v>
      </c>
      <c r="I38" s="24">
        <f t="shared" ref="I38:J38" si="9">I32-($C$27*I37)</f>
        <v>20.822164781609199</v>
      </c>
      <c r="J38" s="24">
        <f t="shared" si="9"/>
        <v>23.796759750410512</v>
      </c>
    </row>
    <row r="39" spans="1:10" x14ac:dyDescent="0.35">
      <c r="A39" s="17" t="s">
        <v>53</v>
      </c>
      <c r="B39" s="56"/>
      <c r="C39" s="24">
        <f>C33-C32</f>
        <v>1.351374030689656</v>
      </c>
      <c r="D39" s="24">
        <f t="shared" ref="D39:H39" si="10">D33-D32</f>
        <v>2.702748061379312</v>
      </c>
      <c r="E39" s="24">
        <f t="shared" si="10"/>
        <v>4.0541220920689689</v>
      </c>
      <c r="F39" s="24">
        <f t="shared" si="10"/>
        <v>5.405496122758624</v>
      </c>
      <c r="G39" s="24">
        <f t="shared" si="10"/>
        <v>6.7568701534482827</v>
      </c>
      <c r="H39" s="24">
        <f t="shared" si="10"/>
        <v>8.1082441841379378</v>
      </c>
      <c r="I39" s="24">
        <f t="shared" ref="I39:J39" si="11">I33-I32</f>
        <v>9.4596182148275858</v>
      </c>
      <c r="J39" s="24">
        <f t="shared" si="11"/>
        <v>10.810992245517248</v>
      </c>
    </row>
    <row r="40" spans="1:10" s="38" customFormat="1" x14ac:dyDescent="0.35">
      <c r="A40" s="49" t="s">
        <v>234</v>
      </c>
      <c r="B40" s="15"/>
      <c r="C40" s="15"/>
      <c r="D40" s="15"/>
      <c r="E40" s="15"/>
      <c r="F40" s="15"/>
    </row>
    <row r="42" spans="1:10" x14ac:dyDescent="0.35">
      <c r="A42" s="2" t="s">
        <v>236</v>
      </c>
      <c r="B42" s="56"/>
      <c r="C42" s="47">
        <v>1</v>
      </c>
      <c r="D42" s="47">
        <v>2</v>
      </c>
      <c r="E42" s="47">
        <v>3</v>
      </c>
      <c r="F42" s="47">
        <v>4</v>
      </c>
      <c r="G42" s="48">
        <v>5</v>
      </c>
      <c r="H42" s="48">
        <v>6</v>
      </c>
      <c r="I42" s="48">
        <v>7</v>
      </c>
      <c r="J42" s="48">
        <v>8</v>
      </c>
    </row>
    <row r="43" spans="1:10" x14ac:dyDescent="0.35">
      <c r="A43" s="7" t="s">
        <v>238</v>
      </c>
      <c r="B43" s="56"/>
      <c r="C43" s="59">
        <f>IF($D$27=0,0,(C32)/$D$27)</f>
        <v>0.22500000000000001</v>
      </c>
      <c r="D43" s="59">
        <f t="shared" ref="D43:H43" si="12">IF($D$27=0,0,(D32)/$D$27)</f>
        <v>0.45</v>
      </c>
      <c r="E43" s="59">
        <f t="shared" si="12"/>
        <v>0.67500000000000004</v>
      </c>
      <c r="F43" s="59">
        <f t="shared" si="12"/>
        <v>0.9</v>
      </c>
      <c r="G43" s="59">
        <f t="shared" si="12"/>
        <v>1.125</v>
      </c>
      <c r="H43" s="59">
        <f t="shared" si="12"/>
        <v>1.35</v>
      </c>
      <c r="I43" s="59">
        <f t="shared" ref="I43:J43" si="13">IF($D$27=0,0,(I32)/$D$27)</f>
        <v>1.5750000000000002</v>
      </c>
      <c r="J43" s="59">
        <f t="shared" si="13"/>
        <v>1.8</v>
      </c>
    </row>
    <row r="44" spans="1:10" x14ac:dyDescent="0.35">
      <c r="A44" s="7" t="s">
        <v>237</v>
      </c>
      <c r="B44" s="56"/>
      <c r="C44" s="24">
        <f>C39</f>
        <v>1.351374030689656</v>
      </c>
      <c r="D44" s="24">
        <f t="shared" ref="D44:H44" si="14">D39</f>
        <v>2.702748061379312</v>
      </c>
      <c r="E44" s="24">
        <f t="shared" si="14"/>
        <v>4.0541220920689689</v>
      </c>
      <c r="F44" s="24">
        <f t="shared" si="14"/>
        <v>5.405496122758624</v>
      </c>
      <c r="G44" s="24">
        <f t="shared" si="14"/>
        <v>6.7568701534482827</v>
      </c>
      <c r="H44" s="24">
        <f t="shared" si="14"/>
        <v>8.1082441841379378</v>
      </c>
      <c r="I44" s="24">
        <f t="shared" ref="I44:J44" si="15">I39</f>
        <v>9.4596182148275858</v>
      </c>
      <c r="J44" s="24">
        <f t="shared" si="15"/>
        <v>10.810992245517248</v>
      </c>
    </row>
    <row r="46" spans="1:10" s="60" customFormat="1" x14ac:dyDescent="0.35">
      <c r="A46" s="71" t="s">
        <v>384</v>
      </c>
      <c r="B46" s="76"/>
      <c r="C46" s="111"/>
      <c r="D46" s="111"/>
      <c r="E46" s="111"/>
      <c r="F46" s="111"/>
      <c r="G46" s="111"/>
      <c r="H46" s="111"/>
      <c r="I46" s="111"/>
      <c r="J46" s="111"/>
    </row>
    <row r="47" spans="1:10" s="60" customFormat="1" x14ac:dyDescent="0.35">
      <c r="B47" s="57"/>
      <c r="C47" s="15"/>
      <c r="D47" s="15"/>
      <c r="E47" s="15"/>
      <c r="F47" s="15"/>
      <c r="G47" s="15"/>
      <c r="H47" s="15"/>
      <c r="I47" s="15"/>
      <c r="J47" s="15"/>
    </row>
    <row r="48" spans="1:10" s="60" customFormat="1" ht="43.5" x14ac:dyDescent="0.35">
      <c r="A48" s="109" t="s">
        <v>385</v>
      </c>
      <c r="B48" s="112">
        <v>0.15</v>
      </c>
      <c r="C48" s="48">
        <v>1</v>
      </c>
      <c r="D48" s="48">
        <v>2</v>
      </c>
      <c r="E48" s="48">
        <v>3</v>
      </c>
      <c r="F48" s="48">
        <v>4</v>
      </c>
      <c r="G48" s="48">
        <v>5</v>
      </c>
      <c r="H48" s="48">
        <v>6</v>
      </c>
      <c r="I48" s="48">
        <v>7</v>
      </c>
      <c r="J48" s="48">
        <v>8</v>
      </c>
    </row>
    <row r="49" spans="1:10" s="60" customFormat="1" x14ac:dyDescent="0.35">
      <c r="A49" s="11" t="s">
        <v>382</v>
      </c>
      <c r="B49" s="110"/>
      <c r="C49" s="24">
        <f>($C$27-$C$27*5.5%)*C48</f>
        <v>3.513740306896552</v>
      </c>
      <c r="D49" s="24">
        <f t="shared" ref="D49:J49" si="16">($C$27-$C$27*5.5%)*D48</f>
        <v>7.0274806137931041</v>
      </c>
      <c r="E49" s="24">
        <f t="shared" si="16"/>
        <v>10.541220920689657</v>
      </c>
      <c r="F49" s="24">
        <f t="shared" si="16"/>
        <v>14.054961227586208</v>
      </c>
      <c r="G49" s="24">
        <f t="shared" si="16"/>
        <v>17.568701534482759</v>
      </c>
      <c r="H49" s="24">
        <f t="shared" si="16"/>
        <v>21.082441841379314</v>
      </c>
      <c r="I49" s="24">
        <f t="shared" si="16"/>
        <v>24.596182148275865</v>
      </c>
      <c r="J49" s="24">
        <f t="shared" si="16"/>
        <v>28.109922455172416</v>
      </c>
    </row>
    <row r="50" spans="1:10" s="60" customFormat="1" x14ac:dyDescent="0.35">
      <c r="A50" s="11" t="s">
        <v>281</v>
      </c>
      <c r="B50" s="16"/>
      <c r="C50" s="115">
        <f>C49*$B$48</f>
        <v>0.52706104603448278</v>
      </c>
      <c r="D50" s="115">
        <f t="shared" ref="D50:J50" si="17">D49*$B$48</f>
        <v>1.0541220920689656</v>
      </c>
      <c r="E50" s="115">
        <f t="shared" si="17"/>
        <v>1.5811831381034485</v>
      </c>
      <c r="F50" s="115">
        <f t="shared" si="17"/>
        <v>2.1082441841379311</v>
      </c>
      <c r="G50" s="115">
        <f t="shared" si="17"/>
        <v>2.6353052301724138</v>
      </c>
      <c r="H50" s="115">
        <f t="shared" si="17"/>
        <v>3.1623662762068969</v>
      </c>
      <c r="I50" s="115">
        <f t="shared" si="17"/>
        <v>3.6894273222413796</v>
      </c>
      <c r="J50" s="115">
        <f t="shared" si="17"/>
        <v>4.2164883682758623</v>
      </c>
    </row>
    <row r="51" spans="1:10" s="60" customFormat="1" x14ac:dyDescent="0.35">
      <c r="B51" s="57"/>
      <c r="C51" s="114"/>
      <c r="D51" s="114"/>
      <c r="E51" s="114"/>
      <c r="F51" s="114"/>
      <c r="G51" s="114"/>
      <c r="H51" s="114"/>
      <c r="I51" s="114"/>
      <c r="J51" s="114"/>
    </row>
    <row r="52" spans="1:10" s="60" customFormat="1" ht="43.5" x14ac:dyDescent="0.35">
      <c r="A52" s="109" t="s">
        <v>394</v>
      </c>
      <c r="B52" s="112">
        <v>0.1</v>
      </c>
      <c r="C52" s="48">
        <v>1</v>
      </c>
      <c r="D52" s="48">
        <v>2</v>
      </c>
      <c r="E52" s="48">
        <v>3</v>
      </c>
      <c r="F52" s="48">
        <v>4</v>
      </c>
      <c r="G52" s="48">
        <v>5</v>
      </c>
      <c r="H52" s="48">
        <v>6</v>
      </c>
      <c r="I52" s="48">
        <v>7</v>
      </c>
      <c r="J52" s="48">
        <v>8</v>
      </c>
    </row>
    <row r="53" spans="1:10" s="60" customFormat="1" x14ac:dyDescent="0.35">
      <c r="A53" s="11" t="s">
        <v>382</v>
      </c>
      <c r="B53" s="16"/>
      <c r="C53" s="24">
        <f>($C$27-$C$27*5.5%)*C52</f>
        <v>3.513740306896552</v>
      </c>
      <c r="D53" s="24">
        <f t="shared" ref="D53:J53" si="18">($C$27-$C$27*5.5%)*D52</f>
        <v>7.0274806137931041</v>
      </c>
      <c r="E53" s="24">
        <f t="shared" si="18"/>
        <v>10.541220920689657</v>
      </c>
      <c r="F53" s="24">
        <f t="shared" si="18"/>
        <v>14.054961227586208</v>
      </c>
      <c r="G53" s="24">
        <f t="shared" si="18"/>
        <v>17.568701534482759</v>
      </c>
      <c r="H53" s="24">
        <f t="shared" si="18"/>
        <v>21.082441841379314</v>
      </c>
      <c r="I53" s="24">
        <f t="shared" si="18"/>
        <v>24.596182148275865</v>
      </c>
      <c r="J53" s="24">
        <f t="shared" si="18"/>
        <v>28.109922455172416</v>
      </c>
    </row>
    <row r="54" spans="1:10" s="60" customFormat="1" x14ac:dyDescent="0.35">
      <c r="A54" s="11" t="s">
        <v>386</v>
      </c>
      <c r="B54" s="16"/>
      <c r="C54" s="113">
        <f>C53*$B$52</f>
        <v>0.35137403068965523</v>
      </c>
      <c r="D54" s="113">
        <f t="shared" ref="D54:J54" si="19">D53*$B$52</f>
        <v>0.70274806137931045</v>
      </c>
      <c r="E54" s="113">
        <f t="shared" si="19"/>
        <v>1.0541220920689658</v>
      </c>
      <c r="F54" s="113">
        <f t="shared" si="19"/>
        <v>1.4054961227586209</v>
      </c>
      <c r="G54" s="113">
        <f t="shared" si="19"/>
        <v>1.756870153448276</v>
      </c>
      <c r="H54" s="113">
        <f t="shared" si="19"/>
        <v>2.1082441841379316</v>
      </c>
      <c r="I54" s="113">
        <f t="shared" si="19"/>
        <v>2.4596182148275867</v>
      </c>
      <c r="J54" s="113">
        <f t="shared" si="19"/>
        <v>2.8109922455172418</v>
      </c>
    </row>
    <row r="55" spans="1:10" s="60" customFormat="1" x14ac:dyDescent="0.35">
      <c r="A55" s="11" t="s">
        <v>387</v>
      </c>
      <c r="B55" s="16"/>
      <c r="C55" s="113">
        <f>C44-C54</f>
        <v>1.0000000000000009</v>
      </c>
      <c r="D55" s="113">
        <f t="shared" ref="D55:J55" si="20">D44-D54</f>
        <v>2.0000000000000018</v>
      </c>
      <c r="E55" s="113">
        <f t="shared" si="20"/>
        <v>3.0000000000000031</v>
      </c>
      <c r="F55" s="113">
        <f t="shared" si="20"/>
        <v>4.0000000000000036</v>
      </c>
      <c r="G55" s="113">
        <f t="shared" si="20"/>
        <v>5.0000000000000071</v>
      </c>
      <c r="H55" s="113">
        <f t="shared" si="20"/>
        <v>6.0000000000000062</v>
      </c>
      <c r="I55" s="113">
        <f t="shared" si="20"/>
        <v>6.9999999999999991</v>
      </c>
      <c r="J55" s="113">
        <f t="shared" si="20"/>
        <v>8.0000000000000071</v>
      </c>
    </row>
    <row r="57" spans="1:10" x14ac:dyDescent="0.35">
      <c r="A57" s="68" t="s">
        <v>416</v>
      </c>
      <c r="B57" s="67"/>
      <c r="C57" s="67"/>
      <c r="D57" s="67"/>
      <c r="E57" s="67"/>
      <c r="F57" s="67"/>
      <c r="G57" s="67"/>
      <c r="H57" s="67"/>
      <c r="I57" s="67"/>
      <c r="J57" s="67"/>
    </row>
    <row r="59" spans="1:10" x14ac:dyDescent="0.35">
      <c r="A59" s="117" t="s">
        <v>389</v>
      </c>
      <c r="B59" s="118"/>
    </row>
    <row r="60" spans="1:10" x14ac:dyDescent="0.35">
      <c r="A60" s="116" t="s">
        <v>393</v>
      </c>
      <c r="B60" s="119">
        <f>J50</f>
        <v>4.2164883682758623</v>
      </c>
    </row>
    <row r="61" spans="1:10" x14ac:dyDescent="0.35">
      <c r="A61" s="42" t="s">
        <v>392</v>
      </c>
      <c r="B61" s="91">
        <f>F44</f>
        <v>5.405496122758624</v>
      </c>
    </row>
    <row r="62" spans="1:10" x14ac:dyDescent="0.35">
      <c r="A62" s="120" t="s">
        <v>48</v>
      </c>
      <c r="B62" s="13">
        <f>SUM(B60:B61)</f>
        <v>9.6219844910344854</v>
      </c>
    </row>
    <row r="64" spans="1:10" x14ac:dyDescent="0.35">
      <c r="A64" s="117" t="s">
        <v>390</v>
      </c>
      <c r="B64" s="118"/>
    </row>
    <row r="65" spans="1:10" x14ac:dyDescent="0.35">
      <c r="A65" s="116" t="s">
        <v>393</v>
      </c>
      <c r="B65" s="119">
        <f>J50</f>
        <v>4.2164883682758623</v>
      </c>
    </row>
    <row r="66" spans="1:10" x14ac:dyDescent="0.35">
      <c r="A66" s="42" t="s">
        <v>392</v>
      </c>
      <c r="B66" s="91">
        <f>F55</f>
        <v>4.0000000000000036</v>
      </c>
    </row>
    <row r="67" spans="1:10" x14ac:dyDescent="0.35">
      <c r="A67" s="120" t="s">
        <v>48</v>
      </c>
      <c r="B67" s="13">
        <f>SUM(B65:B66)</f>
        <v>8.2164883682758649</v>
      </c>
    </row>
    <row r="69" spans="1:10" x14ac:dyDescent="0.35">
      <c r="A69" s="68" t="s">
        <v>422</v>
      </c>
      <c r="B69" s="67"/>
      <c r="C69" s="67"/>
      <c r="D69" s="67"/>
      <c r="E69" s="67"/>
      <c r="F69" s="67"/>
      <c r="G69" s="67"/>
      <c r="H69" s="67"/>
      <c r="I69" s="67"/>
      <c r="J69" s="67"/>
    </row>
    <row r="71" spans="1:10" x14ac:dyDescent="0.35">
      <c r="A71" s="117" t="s">
        <v>389</v>
      </c>
      <c r="B71" s="118"/>
    </row>
    <row r="72" spans="1:10" x14ac:dyDescent="0.35">
      <c r="A72" s="42" t="s">
        <v>405</v>
      </c>
      <c r="B72" s="91">
        <f>D27</f>
        <v>29.745949688013138</v>
      </c>
    </row>
    <row r="73" spans="1:10" x14ac:dyDescent="0.35">
      <c r="A73" s="116" t="s">
        <v>393</v>
      </c>
      <c r="B73" s="119">
        <f>0-J50</f>
        <v>-4.2164883682758623</v>
      </c>
    </row>
    <row r="74" spans="1:10" x14ac:dyDescent="0.35">
      <c r="A74" s="120" t="s">
        <v>48</v>
      </c>
      <c r="B74" s="13">
        <f>SUM(B72:B73)</f>
        <v>25.529461319737276</v>
      </c>
    </row>
    <row r="76" spans="1:10" x14ac:dyDescent="0.35">
      <c r="A76" s="133" t="s">
        <v>390</v>
      </c>
      <c r="B76" s="134"/>
    </row>
    <row r="77" spans="1:10" x14ac:dyDescent="0.35">
      <c r="A77" s="42" t="s">
        <v>405</v>
      </c>
      <c r="B77" s="91">
        <f>D27</f>
        <v>29.745949688013138</v>
      </c>
    </row>
    <row r="78" spans="1:10" x14ac:dyDescent="0.35">
      <c r="A78" s="42" t="s">
        <v>393</v>
      </c>
      <c r="B78" s="91">
        <f>0-J50</f>
        <v>-4.2164883682758623</v>
      </c>
    </row>
    <row r="79" spans="1:10" x14ac:dyDescent="0.35">
      <c r="A79" s="42" t="s">
        <v>406</v>
      </c>
      <c r="B79" s="91">
        <f>F54</f>
        <v>1.4054961227586209</v>
      </c>
    </row>
    <row r="80" spans="1:10" x14ac:dyDescent="0.35">
      <c r="A80" s="120" t="s">
        <v>48</v>
      </c>
      <c r="B80" s="13">
        <f>SUM(B77:B79)</f>
        <v>26.934957442495897</v>
      </c>
    </row>
    <row r="82" spans="1:2" x14ac:dyDescent="0.35">
      <c r="A82" s="37" t="s">
        <v>96</v>
      </c>
      <c r="B82" s="38"/>
    </row>
    <row r="85" spans="1:2" x14ac:dyDescent="0.35">
      <c r="A85" s="2" t="s">
        <v>67</v>
      </c>
      <c r="B85" s="7"/>
    </row>
    <row r="86" spans="1:2" x14ac:dyDescent="0.35">
      <c r="A86" s="7" t="s">
        <v>116</v>
      </c>
      <c r="B86" s="7"/>
    </row>
    <row r="87" spans="1:2" x14ac:dyDescent="0.35">
      <c r="A87" s="7" t="s">
        <v>140</v>
      </c>
      <c r="B87" s="7"/>
    </row>
    <row r="89" spans="1:2" x14ac:dyDescent="0.35">
      <c r="A89" s="39" t="s">
        <v>115</v>
      </c>
      <c r="B89" s="40"/>
    </row>
  </sheetData>
  <phoneticPr fontId="5" type="noConversion"/>
  <conditionalFormatting sqref="C43:J43">
    <cfRule type="cellIs" dxfId="104" priority="8" operator="greaterThanOrEqual">
      <formula>1</formula>
    </cfRule>
    <cfRule type="cellIs" dxfId="103" priority="9" operator="between">
      <formula>0.5</formula>
      <formula>1</formula>
    </cfRule>
  </conditionalFormatting>
  <conditionalFormatting sqref="C44:J44">
    <cfRule type="cellIs" dxfId="102" priority="6" operator="greaterThanOrEqual">
      <formula>4</formula>
    </cfRule>
    <cfRule type="cellIs" dxfId="101" priority="7" operator="greaterThanOrEqual">
      <formula>2</formula>
    </cfRule>
  </conditionalFormatting>
  <conditionalFormatting sqref="C54:J54">
    <cfRule type="cellIs" dxfId="100" priority="1" operator="greaterThanOrEqual">
      <formula>$J$50</formula>
    </cfRule>
  </conditionalFormatting>
  <conditionalFormatting sqref="C55:J55">
    <cfRule type="cellIs" dxfId="99" priority="3" operator="between">
      <formula>2</formula>
      <formula>4</formula>
    </cfRule>
    <cfRule type="cellIs" dxfId="98" priority="4" operator="greaterThanOrEqual">
      <formula>4</formula>
    </cfRule>
  </conditionalFormatting>
  <conditionalFormatting sqref="C50:J50">
    <cfRule type="cellIs" dxfId="97" priority="2" operator="greaterThanOrEqual">
      <formula>0.5</formula>
    </cfRule>
  </conditionalFormatting>
  <dataValidations count="1">
    <dataValidation type="list" allowBlank="1" showInputMessage="1" showErrorMessage="1" sqref="F6 A6:A17">
      <formula1>Ingrédients_recettes</formula1>
    </dataValidation>
  </dataValidations>
  <pageMargins left="0.7" right="0.7" top="0.75" bottom="0.75" header="0.3" footer="0.3"/>
  <pageSetup paperSize="9" scale="59" orientation="portrait" horizontalDpi="4294967293" verticalDpi="4294967293"/>
  <extLst>
    <ext xmlns:mx="http://schemas.microsoft.com/office/mac/excel/2008/main" uri="{64002731-A6B0-56B0-2670-7721B7C09600}">
      <mx:PLV Mode="0" OnePage="0" WScale="10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5"/>
  <sheetViews>
    <sheetView workbookViewId="0">
      <selection activeCell="F8" sqref="F8"/>
    </sheetView>
  </sheetViews>
  <sheetFormatPr baseColWidth="10" defaultRowHeight="14.5" x14ac:dyDescent="0.35"/>
  <cols>
    <col min="1" max="1" width="34.1796875" customWidth="1"/>
    <col min="2" max="2" width="14.6328125" bestFit="1" customWidth="1"/>
    <col min="3" max="3" width="13.1796875" bestFit="1" customWidth="1"/>
    <col min="4" max="4" width="14.36328125" bestFit="1" customWidth="1"/>
    <col min="5" max="5" width="10.1796875" bestFit="1" customWidth="1"/>
    <col min="6" max="6" width="12" customWidth="1"/>
    <col min="7" max="7" width="9.81640625" customWidth="1"/>
    <col min="8" max="8" width="10.90625" customWidth="1"/>
  </cols>
  <sheetData>
    <row r="1" spans="1:9" x14ac:dyDescent="0.35">
      <c r="A1" s="103" t="s">
        <v>554</v>
      </c>
      <c r="B1" s="104"/>
      <c r="C1" s="104"/>
      <c r="D1" s="104"/>
      <c r="E1" s="104"/>
      <c r="F1" s="104"/>
      <c r="G1" s="104"/>
      <c r="H1" s="63"/>
    </row>
    <row r="2" spans="1:9" s="38" customFormat="1" x14ac:dyDescent="0.35">
      <c r="A2" s="73"/>
      <c r="B2" s="74"/>
      <c r="C2" s="74"/>
      <c r="D2" s="74"/>
      <c r="E2" s="74"/>
      <c r="F2" s="74"/>
      <c r="G2" s="74"/>
    </row>
    <row r="3" spans="1:9" s="38" customFormat="1" x14ac:dyDescent="0.35">
      <c r="A3" s="68" t="s">
        <v>276</v>
      </c>
      <c r="B3" s="75"/>
      <c r="C3" s="75"/>
      <c r="D3" s="75"/>
      <c r="E3" s="75"/>
      <c r="F3" s="75"/>
      <c r="G3" s="75"/>
      <c r="H3" s="67"/>
    </row>
    <row r="5" spans="1:9" x14ac:dyDescent="0.35">
      <c r="A5" s="2" t="s">
        <v>68</v>
      </c>
      <c r="B5" s="2" t="s">
        <v>41</v>
      </c>
      <c r="C5" s="2" t="s">
        <v>42</v>
      </c>
      <c r="D5" s="2" t="s">
        <v>40</v>
      </c>
    </row>
    <row r="6" spans="1:9" x14ac:dyDescent="0.35">
      <c r="A6" s="7" t="s">
        <v>556</v>
      </c>
      <c r="B6" s="4">
        <v>0.46500000000000002</v>
      </c>
      <c r="C6" s="31">
        <f t="shared" ref="C6:C13" si="0">IF(ISERROR(VLOOKUP(A6,Tableau_produits,6,FALSE)),0,VLOOKUP(A6,Tableau_produits,6,FALSE))</f>
        <v>19.892473118279568</v>
      </c>
      <c r="D6" s="32">
        <f>C6*B6</f>
        <v>9.25</v>
      </c>
      <c r="E6" s="88"/>
      <c r="I6" s="89"/>
    </row>
    <row r="7" spans="1:9" x14ac:dyDescent="0.35">
      <c r="A7" s="7" t="s">
        <v>342</v>
      </c>
      <c r="B7" s="4">
        <f>0.01*7</f>
        <v>7.0000000000000007E-2</v>
      </c>
      <c r="C7" s="31">
        <f t="shared" si="0"/>
        <v>11.25</v>
      </c>
      <c r="D7" s="32">
        <f>C7*B7</f>
        <v>0.78750000000000009</v>
      </c>
      <c r="I7" s="89"/>
    </row>
    <row r="8" spans="1:9" x14ac:dyDescent="0.35">
      <c r="A8" s="7" t="s">
        <v>112</v>
      </c>
      <c r="B8" s="21">
        <v>8.0000000000000002E-3</v>
      </c>
      <c r="C8" s="31">
        <f t="shared" si="0"/>
        <v>56.000000000000007</v>
      </c>
      <c r="D8" s="32">
        <f t="shared" ref="D8:D13" si="1">C8*B8</f>
        <v>0.44800000000000006</v>
      </c>
      <c r="I8" s="89"/>
    </row>
    <row r="9" spans="1:9" x14ac:dyDescent="0.35">
      <c r="A9" s="7" t="s">
        <v>111</v>
      </c>
      <c r="B9" s="21">
        <v>2E-3</v>
      </c>
      <c r="C9" s="31">
        <f t="shared" si="0"/>
        <v>4.9800000000000004</v>
      </c>
      <c r="D9" s="32">
        <f t="shared" si="1"/>
        <v>9.9600000000000018E-3</v>
      </c>
      <c r="I9" s="89"/>
    </row>
    <row r="10" spans="1:9" x14ac:dyDescent="0.35">
      <c r="A10" s="7" t="s">
        <v>136</v>
      </c>
      <c r="B10" s="10">
        <f>0.0005</f>
        <v>5.0000000000000001E-4</v>
      </c>
      <c r="C10" s="31">
        <f t="shared" si="0"/>
        <v>94.199999999999989</v>
      </c>
      <c r="D10" s="32">
        <f t="shared" si="1"/>
        <v>4.7099999999999996E-2</v>
      </c>
      <c r="I10" s="40"/>
    </row>
    <row r="11" spans="1:9" x14ac:dyDescent="0.35">
      <c r="A11" s="7" t="s">
        <v>108</v>
      </c>
      <c r="B11" s="86">
        <f>0.01*3</f>
        <v>0.03</v>
      </c>
      <c r="C11" s="31">
        <f t="shared" si="0"/>
        <v>7.8533333333333326</v>
      </c>
      <c r="D11" s="32">
        <f t="shared" si="1"/>
        <v>0.23559999999999998</v>
      </c>
    </row>
    <row r="12" spans="1:9" x14ac:dyDescent="0.35">
      <c r="A12" s="7" t="s">
        <v>557</v>
      </c>
      <c r="B12" s="10">
        <f>0.15*3</f>
        <v>0.44999999999999996</v>
      </c>
      <c r="C12" s="31">
        <f t="shared" si="0"/>
        <v>4.3333333333333339</v>
      </c>
      <c r="D12" s="33">
        <f t="shared" si="1"/>
        <v>1.9500000000000002</v>
      </c>
    </row>
    <row r="13" spans="1:9" x14ac:dyDescent="0.35">
      <c r="A13" s="7" t="s">
        <v>374</v>
      </c>
      <c r="B13" s="10">
        <f>0.2*3</f>
        <v>0.60000000000000009</v>
      </c>
      <c r="C13" s="31">
        <f t="shared" si="0"/>
        <v>2.4018126888217521</v>
      </c>
      <c r="D13" s="33">
        <f t="shared" si="1"/>
        <v>1.4410876132930515</v>
      </c>
    </row>
    <row r="14" spans="1:9" x14ac:dyDescent="0.35">
      <c r="A14" s="13" t="s">
        <v>48</v>
      </c>
      <c r="B14" s="13"/>
      <c r="C14" s="13"/>
      <c r="D14" s="34">
        <f>SUM(D6:D13)</f>
        <v>14.16924761329305</v>
      </c>
    </row>
    <row r="15" spans="1:9" x14ac:dyDescent="0.35">
      <c r="A15" s="34" t="str">
        <f>"Coût par portion ("&amp;ROUND(C18*1000,0)&amp;"g)"</f>
        <v>Coût par portion (0g)</v>
      </c>
      <c r="B15" s="13"/>
      <c r="C15" s="13"/>
      <c r="D15" s="34">
        <f>IF(E18=0,0,D14/E18)</f>
        <v>4.7230825377643502</v>
      </c>
    </row>
    <row r="17" spans="1:10" ht="43.5" x14ac:dyDescent="0.35">
      <c r="A17" s="2" t="s">
        <v>90</v>
      </c>
      <c r="B17" s="28" t="s">
        <v>91</v>
      </c>
      <c r="C17" s="28" t="s">
        <v>94</v>
      </c>
      <c r="D17" s="28" t="s">
        <v>92</v>
      </c>
      <c r="E17" s="28" t="s">
        <v>95</v>
      </c>
    </row>
    <row r="18" spans="1:10" x14ac:dyDescent="0.35">
      <c r="A18" s="7" t="s">
        <v>93</v>
      </c>
      <c r="B18" s="7"/>
      <c r="C18" s="7">
        <v>0</v>
      </c>
      <c r="D18" s="30">
        <v>3</v>
      </c>
      <c r="E18" s="35">
        <f>TRUNC(D18)</f>
        <v>3</v>
      </c>
    </row>
    <row r="19" spans="1:10" s="38" customFormat="1" x14ac:dyDescent="0.35">
      <c r="A19" s="60"/>
      <c r="B19" s="60"/>
      <c r="C19" s="60"/>
      <c r="D19" s="64"/>
      <c r="E19" s="60"/>
    </row>
    <row r="20" spans="1:10" s="38" customFormat="1" x14ac:dyDescent="0.35">
      <c r="A20" s="71" t="s">
        <v>277</v>
      </c>
      <c r="B20" s="69"/>
      <c r="C20" s="69"/>
      <c r="D20" s="70"/>
      <c r="E20" s="69"/>
      <c r="F20" s="67"/>
      <c r="G20" s="67"/>
      <c r="H20" s="67"/>
    </row>
    <row r="21" spans="1:10" s="38" customFormat="1" x14ac:dyDescent="0.35">
      <c r="A21" s="60"/>
      <c r="B21" s="60"/>
      <c r="C21" s="60"/>
      <c r="D21" s="64"/>
      <c r="E21" s="60"/>
    </row>
    <row r="22" spans="1:10" s="38" customFormat="1" x14ac:dyDescent="0.35">
      <c r="A22" s="16" t="s">
        <v>274</v>
      </c>
      <c r="B22" s="2" t="s">
        <v>267</v>
      </c>
      <c r="C22" s="2" t="s">
        <v>268</v>
      </c>
      <c r="D22" s="2" t="s">
        <v>269</v>
      </c>
      <c r="E22"/>
    </row>
    <row r="23" spans="1:10" s="38" customFormat="1" x14ac:dyDescent="0.35">
      <c r="A23" s="7" t="s">
        <v>270</v>
      </c>
      <c r="B23" s="78">
        <v>8</v>
      </c>
      <c r="C23" s="24">
        <f>D15</f>
        <v>4.7230825377643502</v>
      </c>
      <c r="D23" s="35">
        <f>C23*B23</f>
        <v>37.784660302114801</v>
      </c>
      <c r="E23"/>
      <c r="G23" s="144"/>
    </row>
    <row r="24" spans="1:10" s="38" customFormat="1" x14ac:dyDescent="0.35">
      <c r="A24" s="7" t="s">
        <v>271</v>
      </c>
      <c r="B24" s="78">
        <v>4</v>
      </c>
      <c r="C24" s="24">
        <f>C23</f>
        <v>4.7230825377643502</v>
      </c>
      <c r="D24" s="35">
        <f>C24*B24</f>
        <v>18.892330151057401</v>
      </c>
      <c r="E24"/>
      <c r="F24"/>
    </row>
    <row r="25" spans="1:10" s="38" customFormat="1" x14ac:dyDescent="0.35">
      <c r="A25" s="7" t="s">
        <v>272</v>
      </c>
      <c r="B25" s="35">
        <f>B23-B24</f>
        <v>4</v>
      </c>
      <c r="C25" s="66">
        <f>(D25/B25)*90%</f>
        <v>8.5015485679758314</v>
      </c>
      <c r="D25" s="35">
        <f>D23</f>
        <v>37.784660302114801</v>
      </c>
      <c r="E25"/>
      <c r="F25" s="83"/>
      <c r="G25"/>
      <c r="H25"/>
    </row>
    <row r="26" spans="1:10" s="38" customFormat="1" x14ac:dyDescent="0.35">
      <c r="A26" s="60"/>
      <c r="B26" s="60"/>
      <c r="C26" s="60"/>
      <c r="D26" s="64"/>
      <c r="E26" s="60"/>
    </row>
    <row r="27" spans="1:10" x14ac:dyDescent="0.35">
      <c r="A27" s="16" t="s">
        <v>275</v>
      </c>
      <c r="B27" s="50" t="s">
        <v>235</v>
      </c>
      <c r="C27" s="45">
        <v>1</v>
      </c>
      <c r="D27" s="45">
        <v>2</v>
      </c>
      <c r="E27" s="45">
        <v>3</v>
      </c>
      <c r="F27" s="45">
        <v>4</v>
      </c>
      <c r="G27" s="46">
        <v>5</v>
      </c>
      <c r="H27" s="46">
        <v>6</v>
      </c>
      <c r="I27" s="46">
        <v>7</v>
      </c>
      <c r="J27" s="46">
        <v>8</v>
      </c>
    </row>
    <row r="28" spans="1:10" x14ac:dyDescent="0.35">
      <c r="A28" s="17" t="s">
        <v>51</v>
      </c>
      <c r="B28" s="53"/>
      <c r="C28" s="24">
        <f>$C$25*C27</f>
        <v>8.5015485679758314</v>
      </c>
      <c r="D28" s="24">
        <f t="shared" ref="D28:J28" si="2">$C$25*D27</f>
        <v>17.003097135951663</v>
      </c>
      <c r="E28" s="24">
        <f t="shared" si="2"/>
        <v>25.504645703927494</v>
      </c>
      <c r="F28" s="24">
        <f t="shared" si="2"/>
        <v>34.006194271903325</v>
      </c>
      <c r="G28" s="24">
        <f t="shared" si="2"/>
        <v>42.507742839879157</v>
      </c>
      <c r="H28" s="24">
        <f t="shared" si="2"/>
        <v>51.009291407854988</v>
      </c>
      <c r="I28" s="24">
        <f t="shared" si="2"/>
        <v>59.51083997583082</v>
      </c>
      <c r="J28" s="24">
        <f t="shared" si="2"/>
        <v>68.012388543806651</v>
      </c>
    </row>
    <row r="29" spans="1:10" x14ac:dyDescent="0.35">
      <c r="A29" s="16" t="s">
        <v>391</v>
      </c>
      <c r="B29" s="54">
        <v>1</v>
      </c>
      <c r="C29" s="24">
        <f>(($C$28+$B$29)+$C$50)*C27</f>
        <v>9.9478798677945619</v>
      </c>
      <c r="D29" s="24">
        <f t="shared" ref="D29:J29" si="3">(($C$28+$B$29)+$C$50)*D27</f>
        <v>19.895759735589124</v>
      </c>
      <c r="E29" s="24">
        <f t="shared" si="3"/>
        <v>29.843639603383686</v>
      </c>
      <c r="F29" s="24">
        <f t="shared" si="3"/>
        <v>39.791519471178248</v>
      </c>
      <c r="G29" s="24">
        <f t="shared" si="3"/>
        <v>49.73939933897281</v>
      </c>
      <c r="H29" s="24">
        <f t="shared" si="3"/>
        <v>59.687279206767371</v>
      </c>
      <c r="I29" s="24">
        <f t="shared" si="3"/>
        <v>69.635159074561926</v>
      </c>
      <c r="J29" s="24">
        <f t="shared" si="3"/>
        <v>79.583038942356495</v>
      </c>
    </row>
    <row r="30" spans="1:10" x14ac:dyDescent="0.35">
      <c r="A30" s="55" t="s">
        <v>380</v>
      </c>
      <c r="B30" s="56"/>
      <c r="C30" s="34">
        <f>C29+(C29*5.5%)</f>
        <v>10.495013260523264</v>
      </c>
      <c r="D30" s="34">
        <f t="shared" ref="D30:J30" si="4">D29+(D29*5.5%)</f>
        <v>20.990026521046527</v>
      </c>
      <c r="E30" s="34">
        <f t="shared" si="4"/>
        <v>31.485039781569789</v>
      </c>
      <c r="F30" s="34">
        <f t="shared" si="4"/>
        <v>41.980053042093054</v>
      </c>
      <c r="G30" s="34">
        <f t="shared" si="4"/>
        <v>52.475066302616312</v>
      </c>
      <c r="H30" s="34">
        <f t="shared" si="4"/>
        <v>62.970079563139578</v>
      </c>
      <c r="I30" s="34">
        <f t="shared" si="4"/>
        <v>73.465092823662829</v>
      </c>
      <c r="J30" s="34">
        <f t="shared" si="4"/>
        <v>83.960106084186108</v>
      </c>
    </row>
    <row r="31" spans="1:10" s="38" customFormat="1" x14ac:dyDescent="0.35">
      <c r="A31" s="49" t="s">
        <v>233</v>
      </c>
      <c r="B31" s="15"/>
      <c r="C31" s="15"/>
      <c r="D31" s="15"/>
      <c r="E31" s="15"/>
      <c r="F31" s="15"/>
      <c r="G31" s="15"/>
    </row>
    <row r="32" spans="1:10" x14ac:dyDescent="0.35">
      <c r="A32" s="15"/>
      <c r="B32" s="14"/>
      <c r="C32" s="14"/>
      <c r="D32" s="14"/>
      <c r="E32" s="14"/>
    </row>
    <row r="33" spans="1:10" x14ac:dyDescent="0.35">
      <c r="A33" s="16" t="s">
        <v>388</v>
      </c>
      <c r="B33" s="56"/>
      <c r="C33" s="47">
        <v>1</v>
      </c>
      <c r="D33" s="47">
        <v>2</v>
      </c>
      <c r="E33" s="47">
        <v>3</v>
      </c>
      <c r="F33" s="47">
        <v>4</v>
      </c>
      <c r="G33" s="48">
        <v>5</v>
      </c>
      <c r="H33" s="48">
        <v>6</v>
      </c>
      <c r="I33" s="48">
        <v>7</v>
      </c>
      <c r="J33" s="48">
        <v>8</v>
      </c>
    </row>
    <row r="34" spans="1:10" x14ac:dyDescent="0.35">
      <c r="A34" s="17" t="s">
        <v>52</v>
      </c>
      <c r="B34" s="56"/>
      <c r="C34" s="24">
        <f>C28-($C$23*C33)</f>
        <v>3.7784660302114812</v>
      </c>
      <c r="D34" s="24">
        <f t="shared" ref="D34:J34" si="5">D28-($C$23*D33)</f>
        <v>7.5569320604229624</v>
      </c>
      <c r="E34" s="24">
        <f t="shared" si="5"/>
        <v>11.335398090634444</v>
      </c>
      <c r="F34" s="24">
        <f t="shared" si="5"/>
        <v>15.113864120845925</v>
      </c>
      <c r="G34" s="24">
        <f t="shared" si="5"/>
        <v>18.892330151057408</v>
      </c>
      <c r="H34" s="24">
        <f t="shared" si="5"/>
        <v>22.670796181268887</v>
      </c>
      <c r="I34" s="24">
        <f t="shared" si="5"/>
        <v>26.449262211480367</v>
      </c>
      <c r="J34" s="24">
        <f t="shared" si="5"/>
        <v>30.22772824169185</v>
      </c>
    </row>
    <row r="35" spans="1:10" x14ac:dyDescent="0.35">
      <c r="A35" s="17" t="s">
        <v>53</v>
      </c>
      <c r="B35" s="56"/>
      <c r="C35" s="24">
        <f>C29-C28</f>
        <v>1.4463312998187305</v>
      </c>
      <c r="D35" s="24">
        <f t="shared" ref="D35:J35" si="6">D29-D28</f>
        <v>2.8926625996374611</v>
      </c>
      <c r="E35" s="24">
        <f t="shared" si="6"/>
        <v>4.3389938994561916</v>
      </c>
      <c r="F35" s="24">
        <f t="shared" si="6"/>
        <v>5.7853251992749222</v>
      </c>
      <c r="G35" s="24">
        <f t="shared" si="6"/>
        <v>7.2316564990936527</v>
      </c>
      <c r="H35" s="24">
        <f t="shared" si="6"/>
        <v>8.6779877989123833</v>
      </c>
      <c r="I35" s="24">
        <f t="shared" si="6"/>
        <v>10.124319098731107</v>
      </c>
      <c r="J35" s="24">
        <f t="shared" si="6"/>
        <v>11.570650398549844</v>
      </c>
    </row>
    <row r="36" spans="1:10" s="38" customFormat="1" x14ac:dyDescent="0.35">
      <c r="A36" s="49" t="s">
        <v>234</v>
      </c>
      <c r="B36" s="15"/>
      <c r="C36" s="15"/>
      <c r="D36" s="15"/>
      <c r="E36" s="15"/>
      <c r="F36" s="15"/>
    </row>
    <row r="38" spans="1:10" x14ac:dyDescent="0.35">
      <c r="A38" s="2" t="s">
        <v>236</v>
      </c>
      <c r="B38" s="56"/>
      <c r="C38" s="47">
        <v>1</v>
      </c>
      <c r="D38" s="47">
        <v>2</v>
      </c>
      <c r="E38" s="47">
        <v>3</v>
      </c>
      <c r="F38" s="47">
        <v>4</v>
      </c>
      <c r="G38" s="48">
        <v>5</v>
      </c>
      <c r="H38" s="48">
        <v>6</v>
      </c>
      <c r="I38" s="48">
        <v>7</v>
      </c>
      <c r="J38" s="48">
        <v>8</v>
      </c>
    </row>
    <row r="39" spans="1:10" x14ac:dyDescent="0.35">
      <c r="A39" s="7" t="s">
        <v>238</v>
      </c>
      <c r="B39" s="56"/>
      <c r="C39" s="59">
        <f>IF($D$23=0,0,(C28)/$D$23)</f>
        <v>0.22500000000000003</v>
      </c>
      <c r="D39" s="59">
        <f t="shared" ref="D39:J39" si="7">IF($D$23=0,0,(D28)/$D$23)</f>
        <v>0.45000000000000007</v>
      </c>
      <c r="E39" s="59">
        <f t="shared" si="7"/>
        <v>0.67500000000000004</v>
      </c>
      <c r="F39" s="59">
        <f>IF($D$23=0,0,(F28)/$D$23)</f>
        <v>0.90000000000000013</v>
      </c>
      <c r="G39" s="59">
        <f t="shared" si="7"/>
        <v>1.1250000000000002</v>
      </c>
      <c r="H39" s="59">
        <f t="shared" si="7"/>
        <v>1.35</v>
      </c>
      <c r="I39" s="59">
        <f t="shared" si="7"/>
        <v>1.5750000000000002</v>
      </c>
      <c r="J39" s="59">
        <f t="shared" si="7"/>
        <v>1.8000000000000003</v>
      </c>
    </row>
    <row r="40" spans="1:10" x14ac:dyDescent="0.35">
      <c r="A40" s="7" t="s">
        <v>383</v>
      </c>
      <c r="B40" s="56"/>
      <c r="C40" s="24">
        <f>C35</f>
        <v>1.4463312998187305</v>
      </c>
      <c r="D40" s="24">
        <f t="shared" ref="D40:J40" si="8">D35</f>
        <v>2.8926625996374611</v>
      </c>
      <c r="E40" s="24">
        <f t="shared" si="8"/>
        <v>4.3389938994561916</v>
      </c>
      <c r="F40" s="24">
        <f t="shared" si="8"/>
        <v>5.7853251992749222</v>
      </c>
      <c r="G40" s="24">
        <f t="shared" si="8"/>
        <v>7.2316564990936527</v>
      </c>
      <c r="H40" s="24">
        <f t="shared" si="8"/>
        <v>8.6779877989123833</v>
      </c>
      <c r="I40" s="24">
        <f t="shared" si="8"/>
        <v>10.124319098731107</v>
      </c>
      <c r="J40" s="24">
        <f t="shared" si="8"/>
        <v>11.570650398549844</v>
      </c>
    </row>
    <row r="41" spans="1:10" s="60" customFormat="1" x14ac:dyDescent="0.35">
      <c r="B41" s="57"/>
      <c r="C41" s="15"/>
      <c r="D41" s="15"/>
      <c r="E41" s="15"/>
      <c r="F41" s="15"/>
      <c r="G41" s="15"/>
      <c r="H41" s="15"/>
      <c r="I41" s="15"/>
      <c r="J41" s="15"/>
    </row>
    <row r="42" spans="1:10" s="60" customFormat="1" x14ac:dyDescent="0.35">
      <c r="A42" s="71" t="s">
        <v>384</v>
      </c>
      <c r="B42" s="76"/>
      <c r="C42" s="111"/>
      <c r="D42" s="111"/>
      <c r="E42" s="111"/>
      <c r="F42" s="111"/>
      <c r="G42" s="111"/>
      <c r="H42" s="111"/>
      <c r="I42" s="111"/>
      <c r="J42" s="111"/>
    </row>
    <row r="43" spans="1:10" s="60" customFormat="1" x14ac:dyDescent="0.35">
      <c r="B43" s="57"/>
      <c r="C43" s="15"/>
      <c r="D43" s="15"/>
      <c r="E43" s="15"/>
      <c r="F43" s="15"/>
      <c r="G43" s="15"/>
      <c r="H43" s="15"/>
      <c r="I43" s="15"/>
      <c r="J43" s="15"/>
    </row>
    <row r="44" spans="1:10" s="60" customFormat="1" ht="43.5" x14ac:dyDescent="0.35">
      <c r="A44" s="109" t="s">
        <v>385</v>
      </c>
      <c r="B44" s="112">
        <v>0.15</v>
      </c>
      <c r="C44" s="48">
        <v>1</v>
      </c>
      <c r="D44" s="48">
        <v>2</v>
      </c>
      <c r="E44" s="48">
        <v>3</v>
      </c>
      <c r="F44" s="48">
        <v>4</v>
      </c>
      <c r="G44" s="48">
        <v>5</v>
      </c>
      <c r="H44" s="48">
        <v>6</v>
      </c>
      <c r="I44" s="48">
        <v>7</v>
      </c>
      <c r="J44" s="48">
        <v>8</v>
      </c>
    </row>
    <row r="45" spans="1:10" s="60" customFormat="1" x14ac:dyDescent="0.35">
      <c r="A45" s="11" t="s">
        <v>382</v>
      </c>
      <c r="B45" s="110"/>
      <c r="C45" s="24">
        <f>($C$23-$C$23*5.5%)*C44</f>
        <v>4.4633129981873108</v>
      </c>
      <c r="D45" s="24">
        <f>($C$23-$C$23*5.5%)*D44</f>
        <v>8.9266259963746215</v>
      </c>
      <c r="E45" s="24">
        <f t="shared" ref="E45:J45" si="9">($C$23-$C$23*5.5%)*E44</f>
        <v>13.389938994561932</v>
      </c>
      <c r="F45" s="24">
        <f t="shared" si="9"/>
        <v>17.853251992749243</v>
      </c>
      <c r="G45" s="24">
        <f t="shared" si="9"/>
        <v>22.316564990936556</v>
      </c>
      <c r="H45" s="24">
        <f t="shared" si="9"/>
        <v>26.779877989123865</v>
      </c>
      <c r="I45" s="24">
        <f t="shared" si="9"/>
        <v>31.243190987311174</v>
      </c>
      <c r="J45" s="24">
        <f t="shared" si="9"/>
        <v>35.706503985498486</v>
      </c>
    </row>
    <row r="46" spans="1:10" s="60" customFormat="1" x14ac:dyDescent="0.35">
      <c r="A46" s="11" t="s">
        <v>281</v>
      </c>
      <c r="B46" s="16"/>
      <c r="C46" s="115">
        <f>C45*$B$44</f>
        <v>0.66949694972809659</v>
      </c>
      <c r="D46" s="115">
        <f t="shared" ref="D46:J46" si="10">D45*$B$44</f>
        <v>1.3389938994561932</v>
      </c>
      <c r="E46" s="115">
        <f t="shared" si="10"/>
        <v>2.0084908491842897</v>
      </c>
      <c r="F46" s="115">
        <f t="shared" si="10"/>
        <v>2.6779877989123864</v>
      </c>
      <c r="G46" s="115">
        <f t="shared" si="10"/>
        <v>3.3474847486404831</v>
      </c>
      <c r="H46" s="115">
        <f t="shared" si="10"/>
        <v>4.0169816983685793</v>
      </c>
      <c r="I46" s="115">
        <f t="shared" si="10"/>
        <v>4.686478648096676</v>
      </c>
      <c r="J46" s="115">
        <f t="shared" si="10"/>
        <v>5.3559755978247727</v>
      </c>
    </row>
    <row r="47" spans="1:10" s="60" customFormat="1" x14ac:dyDescent="0.35">
      <c r="B47" s="57"/>
      <c r="C47" s="114"/>
      <c r="D47" s="114"/>
      <c r="E47" s="114"/>
      <c r="F47" s="114"/>
      <c r="G47" s="114"/>
      <c r="H47" s="114"/>
      <c r="I47" s="114"/>
      <c r="J47" s="114"/>
    </row>
    <row r="48" spans="1:10" s="60" customFormat="1" ht="43.5" x14ac:dyDescent="0.35">
      <c r="A48" s="109" t="s">
        <v>394</v>
      </c>
      <c r="B48" s="112">
        <v>0.1</v>
      </c>
      <c r="C48" s="48">
        <v>1</v>
      </c>
      <c r="D48" s="48">
        <v>2</v>
      </c>
      <c r="E48" s="48">
        <v>3</v>
      </c>
      <c r="F48" s="48">
        <v>4</v>
      </c>
      <c r="G48" s="48">
        <v>5</v>
      </c>
      <c r="H48" s="48">
        <v>6</v>
      </c>
      <c r="I48" s="48">
        <v>7</v>
      </c>
      <c r="J48" s="48">
        <v>8</v>
      </c>
    </row>
    <row r="49" spans="1:10" s="60" customFormat="1" x14ac:dyDescent="0.35">
      <c r="A49" s="11" t="s">
        <v>382</v>
      </c>
      <c r="B49" s="16"/>
      <c r="C49" s="24">
        <f>($C$23-$C$23*5.5%)*C48</f>
        <v>4.4633129981873108</v>
      </c>
      <c r="D49" s="24">
        <f>($C$23-$C$23*5.5%)*D48</f>
        <v>8.9266259963746215</v>
      </c>
      <c r="E49" s="24">
        <f t="shared" ref="E49:J49" si="11">($C$23-$C$23*5.5%)*E48</f>
        <v>13.389938994561932</v>
      </c>
      <c r="F49" s="24">
        <f t="shared" si="11"/>
        <v>17.853251992749243</v>
      </c>
      <c r="G49" s="24">
        <f t="shared" si="11"/>
        <v>22.316564990936556</v>
      </c>
      <c r="H49" s="24">
        <f t="shared" si="11"/>
        <v>26.779877989123865</v>
      </c>
      <c r="I49" s="24">
        <f t="shared" si="11"/>
        <v>31.243190987311174</v>
      </c>
      <c r="J49" s="24">
        <f t="shared" si="11"/>
        <v>35.706503985498486</v>
      </c>
    </row>
    <row r="50" spans="1:10" s="60" customFormat="1" x14ac:dyDescent="0.35">
      <c r="A50" s="11" t="s">
        <v>386</v>
      </c>
      <c r="B50" s="16"/>
      <c r="C50" s="113">
        <f>C49*$B$48</f>
        <v>0.4463312998187311</v>
      </c>
      <c r="D50" s="113">
        <f t="shared" ref="D50:J50" si="12">D49*$B$48</f>
        <v>0.8926625996374622</v>
      </c>
      <c r="E50" s="113">
        <f t="shared" si="12"/>
        <v>1.3389938994561934</v>
      </c>
      <c r="F50" s="113">
        <f t="shared" si="12"/>
        <v>1.7853251992749244</v>
      </c>
      <c r="G50" s="113">
        <f t="shared" si="12"/>
        <v>2.2316564990936558</v>
      </c>
      <c r="H50" s="113">
        <f t="shared" si="12"/>
        <v>2.6779877989123868</v>
      </c>
      <c r="I50" s="113">
        <f t="shared" si="12"/>
        <v>3.1243190987311174</v>
      </c>
      <c r="J50" s="113">
        <f t="shared" si="12"/>
        <v>3.5706503985498488</v>
      </c>
    </row>
    <row r="51" spans="1:10" s="60" customFormat="1" x14ac:dyDescent="0.35">
      <c r="A51" s="11" t="s">
        <v>387</v>
      </c>
      <c r="B51" s="16"/>
      <c r="C51" s="113">
        <f>C40-C50</f>
        <v>0.99999999999999944</v>
      </c>
      <c r="D51" s="113">
        <f t="shared" ref="D51:J51" si="13">D40-D50</f>
        <v>1.9999999999999989</v>
      </c>
      <c r="E51" s="113">
        <f t="shared" si="13"/>
        <v>2.9999999999999982</v>
      </c>
      <c r="F51" s="113">
        <f>F40-F50</f>
        <v>3.9999999999999978</v>
      </c>
      <c r="G51" s="113">
        <f t="shared" si="13"/>
        <v>4.9999999999999964</v>
      </c>
      <c r="H51" s="113">
        <f t="shared" si="13"/>
        <v>5.9999999999999964</v>
      </c>
      <c r="I51" s="113">
        <f t="shared" si="13"/>
        <v>6.9999999999999893</v>
      </c>
      <c r="J51" s="113">
        <f t="shared" si="13"/>
        <v>7.9999999999999956</v>
      </c>
    </row>
    <row r="53" spans="1:10" x14ac:dyDescent="0.35">
      <c r="A53" s="68" t="s">
        <v>416</v>
      </c>
      <c r="B53" s="67"/>
      <c r="C53" s="67"/>
      <c r="D53" s="67"/>
      <c r="E53" s="67"/>
      <c r="F53" s="67"/>
      <c r="G53" s="67"/>
      <c r="H53" s="67"/>
      <c r="I53" s="67"/>
      <c r="J53" s="67"/>
    </row>
    <row r="55" spans="1:10" x14ac:dyDescent="0.35">
      <c r="A55" s="117" t="s">
        <v>389</v>
      </c>
      <c r="B55" s="118"/>
    </row>
    <row r="56" spans="1:10" x14ac:dyDescent="0.35">
      <c r="A56" s="116" t="s">
        <v>393</v>
      </c>
      <c r="B56" s="145">
        <f>J46</f>
        <v>5.3559755978247727</v>
      </c>
    </row>
    <row r="57" spans="1:10" x14ac:dyDescent="0.35">
      <c r="A57" s="42" t="s">
        <v>392</v>
      </c>
      <c r="B57" s="24">
        <f>F35</f>
        <v>5.7853251992749222</v>
      </c>
    </row>
    <row r="58" spans="1:10" x14ac:dyDescent="0.35">
      <c r="A58" s="120" t="s">
        <v>48</v>
      </c>
      <c r="B58" s="34">
        <f>SUM(B56:B57)</f>
        <v>11.141300797099696</v>
      </c>
    </row>
    <row r="60" spans="1:10" x14ac:dyDescent="0.35">
      <c r="A60" s="117" t="s">
        <v>390</v>
      </c>
      <c r="B60" s="118"/>
    </row>
    <row r="61" spans="1:10" x14ac:dyDescent="0.35">
      <c r="A61" s="116" t="s">
        <v>393</v>
      </c>
      <c r="B61" s="145">
        <f>J46</f>
        <v>5.3559755978247727</v>
      </c>
    </row>
    <row r="62" spans="1:10" x14ac:dyDescent="0.35">
      <c r="A62" s="42" t="s">
        <v>392</v>
      </c>
      <c r="B62" s="24">
        <f>F51</f>
        <v>3.9999999999999978</v>
      </c>
    </row>
    <row r="63" spans="1:10" x14ac:dyDescent="0.35">
      <c r="A63" s="120" t="s">
        <v>48</v>
      </c>
      <c r="B63" s="34">
        <f>SUM(B61:B62)</f>
        <v>9.3559755978247701</v>
      </c>
    </row>
    <row r="65" spans="1:10" x14ac:dyDescent="0.35">
      <c r="A65" s="68" t="s">
        <v>422</v>
      </c>
      <c r="B65" s="67"/>
      <c r="C65" s="67"/>
      <c r="D65" s="67"/>
      <c r="E65" s="67"/>
      <c r="F65" s="67"/>
      <c r="G65" s="67"/>
      <c r="H65" s="67"/>
      <c r="I65" s="67"/>
      <c r="J65" s="67"/>
    </row>
    <row r="67" spans="1:10" x14ac:dyDescent="0.35">
      <c r="A67" s="117" t="s">
        <v>389</v>
      </c>
      <c r="B67" s="118"/>
    </row>
    <row r="68" spans="1:10" x14ac:dyDescent="0.35">
      <c r="A68" s="42" t="s">
        <v>405</v>
      </c>
      <c r="B68" s="24">
        <f>D23</f>
        <v>37.784660302114801</v>
      </c>
    </row>
    <row r="69" spans="1:10" x14ac:dyDescent="0.35">
      <c r="A69" s="116" t="s">
        <v>393</v>
      </c>
      <c r="B69" s="145">
        <f>0-J46</f>
        <v>-5.3559755978247727</v>
      </c>
    </row>
    <row r="70" spans="1:10" x14ac:dyDescent="0.35">
      <c r="A70" s="120" t="s">
        <v>48</v>
      </c>
      <c r="B70" s="34">
        <f>SUM(B68:B69)</f>
        <v>32.428684704290028</v>
      </c>
    </row>
    <row r="72" spans="1:10" x14ac:dyDescent="0.35">
      <c r="A72" s="133" t="s">
        <v>390</v>
      </c>
      <c r="B72" s="134"/>
    </row>
    <row r="73" spans="1:10" x14ac:dyDescent="0.35">
      <c r="A73" s="42" t="s">
        <v>405</v>
      </c>
      <c r="B73" s="24">
        <f>D23</f>
        <v>37.784660302114801</v>
      </c>
    </row>
    <row r="74" spans="1:10" x14ac:dyDescent="0.35">
      <c r="A74" s="42" t="s">
        <v>393</v>
      </c>
      <c r="B74" s="24">
        <f>0-J46</f>
        <v>-5.3559755978247727</v>
      </c>
    </row>
    <row r="75" spans="1:10" x14ac:dyDescent="0.35">
      <c r="A75" s="42" t="s">
        <v>406</v>
      </c>
      <c r="B75" s="24">
        <f>F50</f>
        <v>1.7853251992749244</v>
      </c>
    </row>
    <row r="76" spans="1:10" x14ac:dyDescent="0.35">
      <c r="A76" s="120" t="s">
        <v>48</v>
      </c>
      <c r="B76" s="34">
        <f>SUM(B73:B75)</f>
        <v>34.21400990356495</v>
      </c>
    </row>
    <row r="77" spans="1:10" s="40" customFormat="1" x14ac:dyDescent="0.35">
      <c r="A77" s="121"/>
      <c r="B77" s="122" t="s">
        <v>553</v>
      </c>
    </row>
    <row r="78" spans="1:10" s="40" customFormat="1" x14ac:dyDescent="0.35">
      <c r="A78" s="121"/>
      <c r="B78" s="122"/>
    </row>
    <row r="79" spans="1:10" s="40" customFormat="1" x14ac:dyDescent="0.35">
      <c r="A79" s="37" t="s">
        <v>96</v>
      </c>
      <c r="B79" s="122"/>
    </row>
    <row r="80" spans="1:10" s="40" customFormat="1" x14ac:dyDescent="0.35">
      <c r="A80" s="121"/>
      <c r="B80" s="122"/>
    </row>
    <row r="81" spans="1:2" x14ac:dyDescent="0.35">
      <c r="A81" s="2" t="s">
        <v>67</v>
      </c>
      <c r="B81" s="7"/>
    </row>
    <row r="82" spans="1:2" x14ac:dyDescent="0.35">
      <c r="A82" s="7" t="s">
        <v>116</v>
      </c>
      <c r="B82" s="7"/>
    </row>
    <row r="83" spans="1:2" x14ac:dyDescent="0.35">
      <c r="A83" s="7" t="s">
        <v>140</v>
      </c>
      <c r="B83" s="7"/>
    </row>
    <row r="85" spans="1:2" x14ac:dyDescent="0.35">
      <c r="A85" s="39" t="s">
        <v>115</v>
      </c>
      <c r="B85" s="40"/>
    </row>
  </sheetData>
  <conditionalFormatting sqref="C39:J39">
    <cfRule type="cellIs" dxfId="96" priority="7" operator="greaterThanOrEqual">
      <formula>1</formula>
    </cfRule>
    <cfRule type="cellIs" dxfId="95" priority="8" operator="between">
      <formula>0.5</formula>
      <formula>1</formula>
    </cfRule>
  </conditionalFormatting>
  <conditionalFormatting sqref="C40:J40">
    <cfRule type="cellIs" dxfId="94" priority="5" operator="between">
      <formula>2</formula>
      <formula>4</formula>
    </cfRule>
    <cfRule type="cellIs" dxfId="93" priority="6" operator="greaterThanOrEqual">
      <formula>4</formula>
    </cfRule>
  </conditionalFormatting>
  <conditionalFormatting sqref="C50:J50">
    <cfRule type="cellIs" dxfId="92" priority="4" operator="greaterThanOrEqual">
      <formula>$J$46</formula>
    </cfRule>
  </conditionalFormatting>
  <conditionalFormatting sqref="C51:J51">
    <cfRule type="cellIs" dxfId="91" priority="2" operator="between">
      <formula>2</formula>
      <formula>4</formula>
    </cfRule>
    <cfRule type="cellIs" dxfId="90" priority="3" operator="greaterThanOrEqual">
      <formula>4</formula>
    </cfRule>
  </conditionalFormatting>
  <conditionalFormatting sqref="C46:J46">
    <cfRule type="cellIs" dxfId="89" priority="1" operator="greaterThanOrEqual">
      <formula>0.5</formula>
    </cfRule>
  </conditionalFormatting>
  <dataValidations count="1">
    <dataValidation type="list" allowBlank="1" showInputMessage="1" showErrorMessage="1" sqref="F6 A6:A13">
      <formula1>Ingrédients_recettes</formula1>
    </dataValidation>
  </dataValidations>
  <pageMargins left="0.7" right="0.7" top="0.75" bottom="0.75" header="0.3" footer="0.3"/>
  <pageSetup paperSize="9" scale="59" orientation="portrait" horizontalDpi="4294967293" verticalDpi="4294967293"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96"/>
  <sheetViews>
    <sheetView workbookViewId="0">
      <selection activeCell="C26" sqref="C26"/>
    </sheetView>
  </sheetViews>
  <sheetFormatPr baseColWidth="10" defaultRowHeight="14.5" x14ac:dyDescent="0.35"/>
  <cols>
    <col min="1" max="1" width="34.1796875" customWidth="1"/>
    <col min="2" max="2" width="14.6328125" bestFit="1" customWidth="1"/>
    <col min="3" max="3" width="13.1796875" bestFit="1" customWidth="1"/>
    <col min="4" max="4" width="14.36328125" bestFit="1" customWidth="1"/>
    <col min="5" max="5" width="10.1796875" bestFit="1" customWidth="1"/>
    <col min="6" max="6" width="12" customWidth="1"/>
    <col min="7" max="7" width="9.81640625" customWidth="1"/>
    <col min="8" max="8" width="10.90625" customWidth="1"/>
  </cols>
  <sheetData>
    <row r="1" spans="1:9" x14ac:dyDescent="0.35">
      <c r="A1" s="103" t="s">
        <v>593</v>
      </c>
      <c r="B1" s="104"/>
      <c r="C1" s="104"/>
      <c r="D1" s="104"/>
      <c r="E1" s="104"/>
      <c r="F1" s="104"/>
      <c r="G1" s="104"/>
      <c r="H1" s="63"/>
    </row>
    <row r="2" spans="1:9" s="38" customFormat="1" x14ac:dyDescent="0.35">
      <c r="A2" s="73"/>
      <c r="B2" s="74"/>
      <c r="C2" s="74"/>
      <c r="D2" s="74"/>
      <c r="E2" s="74"/>
      <c r="F2" s="74"/>
      <c r="G2" s="74"/>
    </row>
    <row r="3" spans="1:9" s="38" customFormat="1" x14ac:dyDescent="0.35">
      <c r="A3" s="68" t="s">
        <v>276</v>
      </c>
      <c r="B3" s="75"/>
      <c r="C3" s="75"/>
      <c r="D3" s="75"/>
      <c r="E3" s="75"/>
      <c r="F3" s="75"/>
      <c r="G3" s="75"/>
      <c r="H3" s="67"/>
    </row>
    <row r="5" spans="1:9" x14ac:dyDescent="0.35">
      <c r="A5" s="2" t="s">
        <v>68</v>
      </c>
      <c r="B5" s="2" t="s">
        <v>41</v>
      </c>
      <c r="C5" s="2" t="s">
        <v>42</v>
      </c>
      <c r="D5" s="2" t="s">
        <v>40</v>
      </c>
    </row>
    <row r="6" spans="1:9" x14ac:dyDescent="0.35">
      <c r="A6" s="7" t="s">
        <v>594</v>
      </c>
      <c r="B6" s="4">
        <v>0.33</v>
      </c>
      <c r="C6" s="31">
        <f t="shared" ref="C6:C13" si="0">IF(ISERROR(VLOOKUP(A6,Tableau_produits,6,FALSE)),0,VLOOKUP(A6,Tableau_produits,6,FALSE))</f>
        <v>16.90909090909091</v>
      </c>
      <c r="D6" s="32">
        <f>C6*B6</f>
        <v>5.580000000000001</v>
      </c>
      <c r="E6" s="88"/>
      <c r="I6" s="89"/>
    </row>
    <row r="7" spans="1:9" x14ac:dyDescent="0.35">
      <c r="A7" s="7" t="s">
        <v>595</v>
      </c>
      <c r="B7" s="4">
        <v>1</v>
      </c>
      <c r="C7" s="31">
        <f t="shared" si="0"/>
        <v>0.42000000000000004</v>
      </c>
      <c r="D7" s="32">
        <f>C7*B7</f>
        <v>0.42000000000000004</v>
      </c>
      <c r="I7" s="89"/>
    </row>
    <row r="8" spans="1:9" x14ac:dyDescent="0.35">
      <c r="A8" s="7" t="s">
        <v>152</v>
      </c>
      <c r="B8" s="4">
        <f>0.01*3</f>
        <v>0.03</v>
      </c>
      <c r="C8" s="31">
        <f t="shared" si="0"/>
        <v>2.2200000000000002</v>
      </c>
      <c r="D8" s="32">
        <f t="shared" ref="D8:D13" si="1">C8*B8</f>
        <v>6.6600000000000006E-2</v>
      </c>
      <c r="I8" s="89"/>
    </row>
    <row r="9" spans="1:9" x14ac:dyDescent="0.35">
      <c r="A9" s="7" t="s">
        <v>596</v>
      </c>
      <c r="B9" s="4">
        <v>2.5000000000000001E-2</v>
      </c>
      <c r="C9" s="31">
        <f t="shared" si="0"/>
        <v>26</v>
      </c>
      <c r="D9" s="32">
        <f t="shared" si="1"/>
        <v>0.65</v>
      </c>
      <c r="I9" s="89"/>
    </row>
    <row r="10" spans="1:9" x14ac:dyDescent="0.35">
      <c r="A10" s="7" t="s">
        <v>597</v>
      </c>
      <c r="B10" s="86">
        <f>0.01*2</f>
        <v>0.02</v>
      </c>
      <c r="C10" s="31">
        <f t="shared" si="0"/>
        <v>4.99</v>
      </c>
      <c r="D10" s="32">
        <f t="shared" si="1"/>
        <v>9.98E-2</v>
      </c>
      <c r="I10" s="40"/>
    </row>
    <row r="11" spans="1:9" x14ac:dyDescent="0.35">
      <c r="A11" s="7" t="s">
        <v>109</v>
      </c>
      <c r="B11" s="86">
        <v>0.02</v>
      </c>
      <c r="C11" s="31">
        <f t="shared" si="0"/>
        <v>9.56</v>
      </c>
      <c r="D11" s="32">
        <f t="shared" si="1"/>
        <v>0.19120000000000001</v>
      </c>
    </row>
    <row r="12" spans="1:9" x14ac:dyDescent="0.35">
      <c r="A12" s="7" t="s">
        <v>111</v>
      </c>
      <c r="B12" s="10">
        <f>0.001</f>
        <v>1E-3</v>
      </c>
      <c r="C12" s="31">
        <f t="shared" si="0"/>
        <v>4.9800000000000004</v>
      </c>
      <c r="D12" s="33">
        <f t="shared" si="1"/>
        <v>4.9800000000000009E-3</v>
      </c>
    </row>
    <row r="13" spans="1:9" x14ac:dyDescent="0.35">
      <c r="A13" s="7" t="s">
        <v>136</v>
      </c>
      <c r="B13" s="10">
        <f>0.0005</f>
        <v>5.0000000000000001E-4</v>
      </c>
      <c r="C13" s="31">
        <f t="shared" si="0"/>
        <v>94.199999999999989</v>
      </c>
      <c r="D13" s="33">
        <f t="shared" si="1"/>
        <v>4.7099999999999996E-2</v>
      </c>
    </row>
    <row r="14" spans="1:9" x14ac:dyDescent="0.35">
      <c r="A14" s="7" t="s">
        <v>595</v>
      </c>
      <c r="B14" s="10">
        <v>1</v>
      </c>
      <c r="C14" s="31">
        <f t="shared" ref="C14:C23" si="2">IF(ISERROR(VLOOKUP(A14,Tableau_produits,6,FALSE)),0,VLOOKUP(A14,Tableau_produits,6,FALSE))</f>
        <v>0.42000000000000004</v>
      </c>
      <c r="D14" s="33">
        <f t="shared" ref="D14:D23" si="3">C14*B14</f>
        <v>0.42000000000000004</v>
      </c>
    </row>
    <row r="15" spans="1:9" x14ac:dyDescent="0.35">
      <c r="A15" s="7" t="s">
        <v>583</v>
      </c>
      <c r="B15" s="10">
        <v>1</v>
      </c>
      <c r="C15" s="31">
        <f t="shared" si="2"/>
        <v>0.37</v>
      </c>
      <c r="D15" s="33">
        <f t="shared" si="3"/>
        <v>0.37</v>
      </c>
    </row>
    <row r="16" spans="1:9" x14ac:dyDescent="0.35">
      <c r="A16" s="7" t="s">
        <v>111</v>
      </c>
      <c r="B16" s="10">
        <f>0.001</f>
        <v>1E-3</v>
      </c>
      <c r="C16" s="31">
        <f t="shared" si="2"/>
        <v>4.9800000000000004</v>
      </c>
      <c r="D16" s="33">
        <f t="shared" si="3"/>
        <v>4.9800000000000009E-3</v>
      </c>
    </row>
    <row r="17" spans="1:8" x14ac:dyDescent="0.35">
      <c r="A17" s="7" t="s">
        <v>136</v>
      </c>
      <c r="B17" s="10">
        <f>0.0005</f>
        <v>5.0000000000000001E-4</v>
      </c>
      <c r="C17" s="31">
        <f t="shared" si="2"/>
        <v>94.199999999999989</v>
      </c>
      <c r="D17" s="33">
        <f t="shared" si="3"/>
        <v>4.7099999999999996E-2</v>
      </c>
    </row>
    <row r="18" spans="1:8" x14ac:dyDescent="0.35">
      <c r="A18" s="7" t="s">
        <v>597</v>
      </c>
      <c r="B18" s="10">
        <v>0.2</v>
      </c>
      <c r="C18" s="31">
        <f t="shared" si="2"/>
        <v>4.99</v>
      </c>
      <c r="D18" s="33">
        <f t="shared" si="3"/>
        <v>0.99800000000000011</v>
      </c>
    </row>
    <row r="19" spans="1:8" x14ac:dyDescent="0.35">
      <c r="A19" s="7" t="s">
        <v>599</v>
      </c>
      <c r="B19" s="10">
        <f>0.0005</f>
        <v>5.0000000000000001E-4</v>
      </c>
      <c r="C19" s="31">
        <f t="shared" si="2"/>
        <v>39</v>
      </c>
      <c r="D19" s="33">
        <f t="shared" si="3"/>
        <v>1.95E-2</v>
      </c>
    </row>
    <row r="20" spans="1:8" x14ac:dyDescent="0.35">
      <c r="A20" s="7" t="s">
        <v>494</v>
      </c>
      <c r="B20" s="10">
        <v>1.4999999999999999E-2</v>
      </c>
      <c r="C20" s="31">
        <f t="shared" si="2"/>
        <v>7.9861111111111107</v>
      </c>
      <c r="D20" s="33">
        <f t="shared" si="3"/>
        <v>0.11979166666666666</v>
      </c>
    </row>
    <row r="21" spans="1:8" x14ac:dyDescent="0.35">
      <c r="A21" s="7" t="s">
        <v>601</v>
      </c>
      <c r="B21" s="10">
        <v>1.2E-2</v>
      </c>
      <c r="C21" s="31">
        <f t="shared" si="2"/>
        <v>21.357142857142858</v>
      </c>
      <c r="D21" s="33">
        <f t="shared" si="3"/>
        <v>0.25628571428571428</v>
      </c>
    </row>
    <row r="22" spans="1:8" x14ac:dyDescent="0.35">
      <c r="A22" s="7" t="s">
        <v>603</v>
      </c>
      <c r="B22" s="10">
        <v>0.02</v>
      </c>
      <c r="C22" s="31">
        <f t="shared" si="2"/>
        <v>8.3181818181818183</v>
      </c>
      <c r="D22" s="33">
        <f t="shared" si="3"/>
        <v>0.16636363636363638</v>
      </c>
    </row>
    <row r="23" spans="1:8" x14ac:dyDescent="0.35">
      <c r="A23" s="7" t="s">
        <v>342</v>
      </c>
      <c r="B23" s="87">
        <v>0.02</v>
      </c>
      <c r="C23" s="31">
        <f t="shared" si="2"/>
        <v>11.25</v>
      </c>
      <c r="D23" s="33">
        <f t="shared" si="3"/>
        <v>0.22500000000000001</v>
      </c>
    </row>
    <row r="24" spans="1:8" x14ac:dyDescent="0.35">
      <c r="A24" s="7" t="s">
        <v>374</v>
      </c>
      <c r="B24" s="87">
        <f>0.3*2</f>
        <v>0.6</v>
      </c>
      <c r="C24" s="31">
        <f t="shared" ref="C24" si="4">IF(ISERROR(VLOOKUP(A24,Tableau_produits,6,FALSE)),0,VLOOKUP(A24,Tableau_produits,6,FALSE))</f>
        <v>2.4018126888217521</v>
      </c>
      <c r="D24" s="33">
        <f t="shared" ref="D24" si="5">C24*B24</f>
        <v>1.4410876132930512</v>
      </c>
    </row>
    <row r="25" spans="1:8" x14ac:dyDescent="0.35">
      <c r="A25" s="13" t="s">
        <v>48</v>
      </c>
      <c r="B25" s="13"/>
      <c r="C25" s="13"/>
      <c r="D25" s="34">
        <f>SUM(D6:D24)</f>
        <v>11.127788630609071</v>
      </c>
    </row>
    <row r="26" spans="1:8" x14ac:dyDescent="0.35">
      <c r="A26" s="34" t="str">
        <f>"Coût par portion ("&amp;ROUND(C29*1000,0)&amp;"g)"</f>
        <v>Coût par portion (0g)</v>
      </c>
      <c r="B26" s="13"/>
      <c r="C26" s="13"/>
      <c r="D26" s="34">
        <f>IF(E29=0,0,D25/E29)</f>
        <v>5.5638943153045357</v>
      </c>
    </row>
    <row r="28" spans="1:8" ht="43.5" x14ac:dyDescent="0.35">
      <c r="A28" s="2" t="s">
        <v>90</v>
      </c>
      <c r="B28" s="28" t="s">
        <v>91</v>
      </c>
      <c r="C28" s="28" t="s">
        <v>94</v>
      </c>
      <c r="D28" s="28" t="s">
        <v>92</v>
      </c>
      <c r="E28" s="28" t="s">
        <v>95</v>
      </c>
    </row>
    <row r="29" spans="1:8" x14ac:dyDescent="0.35">
      <c r="A29" s="7" t="s">
        <v>93</v>
      </c>
      <c r="B29" s="7"/>
      <c r="C29" s="7">
        <v>0</v>
      </c>
      <c r="D29" s="30">
        <v>2</v>
      </c>
      <c r="E29" s="35">
        <f>TRUNC(D29)</f>
        <v>2</v>
      </c>
    </row>
    <row r="30" spans="1:8" s="38" customFormat="1" x14ac:dyDescent="0.35">
      <c r="A30" s="60"/>
      <c r="B30" s="60"/>
      <c r="C30" s="60"/>
      <c r="D30" s="64"/>
      <c r="E30" s="60"/>
    </row>
    <row r="31" spans="1:8" s="38" customFormat="1" x14ac:dyDescent="0.35">
      <c r="A31" s="71" t="s">
        <v>277</v>
      </c>
      <c r="B31" s="69"/>
      <c r="C31" s="69"/>
      <c r="D31" s="70"/>
      <c r="E31" s="69"/>
      <c r="F31" s="67"/>
      <c r="G31" s="67"/>
      <c r="H31" s="67"/>
    </row>
    <row r="32" spans="1:8" s="38" customFormat="1" x14ac:dyDescent="0.35">
      <c r="A32" s="60"/>
      <c r="B32" s="60"/>
      <c r="C32" s="60"/>
      <c r="D32" s="64"/>
      <c r="E32" s="60"/>
    </row>
    <row r="33" spans="1:10" s="38" customFormat="1" x14ac:dyDescent="0.35">
      <c r="A33" s="16" t="s">
        <v>274</v>
      </c>
      <c r="B33" s="2" t="s">
        <v>267</v>
      </c>
      <c r="C33" s="2" t="s">
        <v>268</v>
      </c>
      <c r="D33" s="2" t="s">
        <v>269</v>
      </c>
      <c r="E33"/>
    </row>
    <row r="34" spans="1:10" s="38" customFormat="1" x14ac:dyDescent="0.35">
      <c r="A34" s="7" t="s">
        <v>270</v>
      </c>
      <c r="B34" s="78">
        <v>8</v>
      </c>
      <c r="C34" s="24">
        <f>D26</f>
        <v>5.5638943153045357</v>
      </c>
      <c r="D34" s="35">
        <f>C34*B34</f>
        <v>44.511154522436286</v>
      </c>
      <c r="E34"/>
      <c r="G34" s="144"/>
    </row>
    <row r="35" spans="1:10" s="38" customFormat="1" x14ac:dyDescent="0.35">
      <c r="A35" s="7" t="s">
        <v>271</v>
      </c>
      <c r="B35" s="78">
        <v>4</v>
      </c>
      <c r="C35" s="24">
        <f>C34</f>
        <v>5.5638943153045357</v>
      </c>
      <c r="D35" s="35">
        <f>C35*B35</f>
        <v>22.255577261218143</v>
      </c>
      <c r="E35"/>
      <c r="F35"/>
    </row>
    <row r="36" spans="1:10" s="38" customFormat="1" x14ac:dyDescent="0.35">
      <c r="A36" s="7" t="s">
        <v>272</v>
      </c>
      <c r="B36" s="35">
        <f>B34-B35</f>
        <v>4</v>
      </c>
      <c r="C36" s="66">
        <f>(D36/B36)*90%</f>
        <v>10.015009767548165</v>
      </c>
      <c r="D36" s="35">
        <f>D34</f>
        <v>44.511154522436286</v>
      </c>
      <c r="E36"/>
      <c r="F36" s="83"/>
      <c r="G36"/>
      <c r="H36"/>
    </row>
    <row r="37" spans="1:10" s="38" customFormat="1" x14ac:dyDescent="0.35">
      <c r="A37" s="60"/>
      <c r="B37" s="60"/>
      <c r="C37" s="60"/>
      <c r="D37" s="64"/>
      <c r="E37" s="60"/>
    </row>
    <row r="38" spans="1:10" x14ac:dyDescent="0.35">
      <c r="A38" s="16" t="s">
        <v>275</v>
      </c>
      <c r="B38" s="50" t="s">
        <v>235</v>
      </c>
      <c r="C38" s="45">
        <v>1</v>
      </c>
      <c r="D38" s="45">
        <v>2</v>
      </c>
      <c r="E38" s="45">
        <v>3</v>
      </c>
      <c r="F38" s="45">
        <v>4</v>
      </c>
      <c r="G38" s="46">
        <v>5</v>
      </c>
      <c r="H38" s="46">
        <v>6</v>
      </c>
      <c r="I38" s="46">
        <v>7</v>
      </c>
      <c r="J38" s="46">
        <v>8</v>
      </c>
    </row>
    <row r="39" spans="1:10" x14ac:dyDescent="0.35">
      <c r="A39" s="17" t="s">
        <v>51</v>
      </c>
      <c r="B39" s="53"/>
      <c r="C39" s="24">
        <f>$C$36*C38</f>
        <v>10.015009767548165</v>
      </c>
      <c r="D39" s="24">
        <f t="shared" ref="D39:J39" si="6">$C$36*D38</f>
        <v>20.030019535096329</v>
      </c>
      <c r="E39" s="24">
        <f t="shared" si="6"/>
        <v>30.045029302644494</v>
      </c>
      <c r="F39" s="24">
        <f t="shared" si="6"/>
        <v>40.060039070192659</v>
      </c>
      <c r="G39" s="24">
        <f t="shared" si="6"/>
        <v>50.075048837740823</v>
      </c>
      <c r="H39" s="24">
        <f t="shared" si="6"/>
        <v>60.090058605288988</v>
      </c>
      <c r="I39" s="24">
        <f t="shared" si="6"/>
        <v>70.105068372837152</v>
      </c>
      <c r="J39" s="24">
        <f t="shared" si="6"/>
        <v>80.120078140385317</v>
      </c>
    </row>
    <row r="40" spans="1:10" x14ac:dyDescent="0.35">
      <c r="A40" s="16" t="s">
        <v>391</v>
      </c>
      <c r="B40" s="54">
        <v>1</v>
      </c>
      <c r="C40" s="24">
        <f>(($C$39+$B$40)+$C$61)*C38</f>
        <v>11.540797780344443</v>
      </c>
      <c r="D40" s="24">
        <f t="shared" ref="D40:J40" si="7">(($C$39+$B$40)+$C$61)*D38</f>
        <v>23.081595560688886</v>
      </c>
      <c r="E40" s="24">
        <f t="shared" si="7"/>
        <v>34.62239334103333</v>
      </c>
      <c r="F40" s="24">
        <f t="shared" si="7"/>
        <v>46.163191121377771</v>
      </c>
      <c r="G40" s="24">
        <f t="shared" si="7"/>
        <v>57.703988901722212</v>
      </c>
      <c r="H40" s="24">
        <f t="shared" si="7"/>
        <v>69.24478668206666</v>
      </c>
      <c r="I40" s="24">
        <f t="shared" si="7"/>
        <v>80.785584462411094</v>
      </c>
      <c r="J40" s="24">
        <f t="shared" si="7"/>
        <v>92.326382242755543</v>
      </c>
    </row>
    <row r="41" spans="1:10" x14ac:dyDescent="0.35">
      <c r="A41" s="55" t="s">
        <v>380</v>
      </c>
      <c r="B41" s="56"/>
      <c r="C41" s="34">
        <f>C40+(C40*5.5%)</f>
        <v>12.175541658263388</v>
      </c>
      <c r="D41" s="34">
        <f t="shared" ref="D41:J41" si="8">D40+(D40*5.5%)</f>
        <v>24.351083316526775</v>
      </c>
      <c r="E41" s="34">
        <f t="shared" si="8"/>
        <v>36.526624974790167</v>
      </c>
      <c r="F41" s="34">
        <f t="shared" si="8"/>
        <v>48.702166633053551</v>
      </c>
      <c r="G41" s="34">
        <f t="shared" si="8"/>
        <v>60.877708291316935</v>
      </c>
      <c r="H41" s="34">
        <f t="shared" si="8"/>
        <v>73.053249949580334</v>
      </c>
      <c r="I41" s="34">
        <f t="shared" si="8"/>
        <v>85.228791607843704</v>
      </c>
      <c r="J41" s="34">
        <f t="shared" si="8"/>
        <v>97.404333266107102</v>
      </c>
    </row>
    <row r="42" spans="1:10" s="38" customFormat="1" x14ac:dyDescent="0.35">
      <c r="A42" s="49" t="s">
        <v>233</v>
      </c>
      <c r="B42" s="15"/>
      <c r="C42" s="15"/>
      <c r="D42" s="15"/>
      <c r="E42" s="15"/>
      <c r="F42" s="15"/>
      <c r="G42" s="15"/>
    </row>
    <row r="43" spans="1:10" x14ac:dyDescent="0.35">
      <c r="A43" s="15"/>
      <c r="B43" s="14"/>
      <c r="C43" s="14"/>
      <c r="D43" s="14"/>
      <c r="E43" s="14"/>
    </row>
    <row r="44" spans="1:10" x14ac:dyDescent="0.35">
      <c r="A44" s="16" t="s">
        <v>388</v>
      </c>
      <c r="B44" s="56"/>
      <c r="C44" s="47">
        <v>1</v>
      </c>
      <c r="D44" s="47">
        <v>2</v>
      </c>
      <c r="E44" s="47">
        <v>3</v>
      </c>
      <c r="F44" s="47">
        <v>4</v>
      </c>
      <c r="G44" s="48">
        <v>5</v>
      </c>
      <c r="H44" s="48">
        <v>6</v>
      </c>
      <c r="I44" s="48">
        <v>7</v>
      </c>
      <c r="J44" s="48">
        <v>8</v>
      </c>
    </row>
    <row r="45" spans="1:10" x14ac:dyDescent="0.35">
      <c r="A45" s="17" t="s">
        <v>52</v>
      </c>
      <c r="B45" s="56"/>
      <c r="C45" s="24">
        <f>C39-($C$34*C44)</f>
        <v>4.4511154522436289</v>
      </c>
      <c r="D45" s="24">
        <f t="shared" ref="D45:J45" si="9">D39-($C$34*D44)</f>
        <v>8.9022309044872578</v>
      </c>
      <c r="E45" s="24">
        <f t="shared" si="9"/>
        <v>13.353346356730889</v>
      </c>
      <c r="F45" s="24">
        <f t="shared" si="9"/>
        <v>17.804461808974516</v>
      </c>
      <c r="G45" s="24">
        <f t="shared" si="9"/>
        <v>22.255577261218143</v>
      </c>
      <c r="H45" s="24">
        <f t="shared" si="9"/>
        <v>26.706692713461777</v>
      </c>
      <c r="I45" s="24">
        <f t="shared" si="9"/>
        <v>31.157808165705404</v>
      </c>
      <c r="J45" s="24">
        <f t="shared" si="9"/>
        <v>35.608923617949031</v>
      </c>
    </row>
    <row r="46" spans="1:10" x14ac:dyDescent="0.35">
      <c r="A46" s="17" t="s">
        <v>53</v>
      </c>
      <c r="B46" s="56"/>
      <c r="C46" s="24">
        <f>C40-C39</f>
        <v>1.5257880127962782</v>
      </c>
      <c r="D46" s="24">
        <f t="shared" ref="D46:J46" si="10">D40-D39</f>
        <v>3.0515760255925564</v>
      </c>
      <c r="E46" s="24">
        <f t="shared" si="10"/>
        <v>4.5773640383888363</v>
      </c>
      <c r="F46" s="24">
        <f t="shared" si="10"/>
        <v>6.1031520511851127</v>
      </c>
      <c r="G46" s="24">
        <f t="shared" si="10"/>
        <v>7.6289400639813891</v>
      </c>
      <c r="H46" s="24">
        <f t="shared" si="10"/>
        <v>9.1547280767776726</v>
      </c>
      <c r="I46" s="24">
        <f t="shared" si="10"/>
        <v>10.680516089573942</v>
      </c>
      <c r="J46" s="24">
        <f t="shared" si="10"/>
        <v>12.206304102370225</v>
      </c>
    </row>
    <row r="47" spans="1:10" s="38" customFormat="1" x14ac:dyDescent="0.35">
      <c r="A47" s="49" t="s">
        <v>234</v>
      </c>
      <c r="B47" s="15"/>
      <c r="C47" s="15"/>
      <c r="D47" s="15"/>
      <c r="E47" s="15"/>
      <c r="F47" s="15"/>
    </row>
    <row r="49" spans="1:10" x14ac:dyDescent="0.35">
      <c r="A49" s="2" t="s">
        <v>236</v>
      </c>
      <c r="B49" s="56"/>
      <c r="C49" s="47">
        <v>1</v>
      </c>
      <c r="D49" s="47">
        <v>2</v>
      </c>
      <c r="E49" s="47">
        <v>3</v>
      </c>
      <c r="F49" s="47">
        <v>4</v>
      </c>
      <c r="G49" s="48">
        <v>5</v>
      </c>
      <c r="H49" s="48">
        <v>6</v>
      </c>
      <c r="I49" s="48">
        <v>7</v>
      </c>
      <c r="J49" s="48">
        <v>8</v>
      </c>
    </row>
    <row r="50" spans="1:10" x14ac:dyDescent="0.35">
      <c r="A50" s="7" t="s">
        <v>238</v>
      </c>
      <c r="B50" s="56"/>
      <c r="C50" s="59">
        <f>IF($D$34=0,0,(C39)/$D$34)</f>
        <v>0.22500000000000001</v>
      </c>
      <c r="D50" s="59">
        <f t="shared" ref="D50:J50" si="11">IF($D$34=0,0,(D39)/$D$34)</f>
        <v>0.45</v>
      </c>
      <c r="E50" s="59">
        <f t="shared" si="11"/>
        <v>0.67500000000000004</v>
      </c>
      <c r="F50" s="59">
        <f>IF($D$34=0,0,(F39)/$D$34)</f>
        <v>0.9</v>
      </c>
      <c r="G50" s="59">
        <f t="shared" si="11"/>
        <v>1.125</v>
      </c>
      <c r="H50" s="59">
        <f t="shared" si="11"/>
        <v>1.35</v>
      </c>
      <c r="I50" s="59">
        <f t="shared" si="11"/>
        <v>1.575</v>
      </c>
      <c r="J50" s="59">
        <f t="shared" si="11"/>
        <v>1.8</v>
      </c>
    </row>
    <row r="51" spans="1:10" x14ac:dyDescent="0.35">
      <c r="A51" s="7" t="s">
        <v>383</v>
      </c>
      <c r="B51" s="56"/>
      <c r="C51" s="24">
        <f>C46</f>
        <v>1.5257880127962782</v>
      </c>
      <c r="D51" s="24">
        <f t="shared" ref="D51:J51" si="12">D46</f>
        <v>3.0515760255925564</v>
      </c>
      <c r="E51" s="24">
        <f t="shared" si="12"/>
        <v>4.5773640383888363</v>
      </c>
      <c r="F51" s="24">
        <f t="shared" si="12"/>
        <v>6.1031520511851127</v>
      </c>
      <c r="G51" s="24">
        <f t="shared" si="12"/>
        <v>7.6289400639813891</v>
      </c>
      <c r="H51" s="24">
        <f t="shared" si="12"/>
        <v>9.1547280767776726</v>
      </c>
      <c r="I51" s="24">
        <f t="shared" si="12"/>
        <v>10.680516089573942</v>
      </c>
      <c r="J51" s="24">
        <f t="shared" si="12"/>
        <v>12.206304102370225</v>
      </c>
    </row>
    <row r="52" spans="1:10" s="60" customFormat="1" x14ac:dyDescent="0.35">
      <c r="B52" s="57"/>
      <c r="C52" s="15"/>
      <c r="D52" s="15"/>
      <c r="E52" s="15"/>
      <c r="F52" s="15"/>
      <c r="G52" s="15"/>
      <c r="H52" s="15"/>
      <c r="I52" s="15"/>
      <c r="J52" s="15"/>
    </row>
    <row r="53" spans="1:10" s="60" customFormat="1" x14ac:dyDescent="0.35">
      <c r="A53" s="71" t="s">
        <v>384</v>
      </c>
      <c r="B53" s="76"/>
      <c r="C53" s="111"/>
      <c r="D53" s="111"/>
      <c r="E53" s="111"/>
      <c r="F53" s="111"/>
      <c r="G53" s="111"/>
      <c r="H53" s="111"/>
      <c r="I53" s="111"/>
      <c r="J53" s="111"/>
    </row>
    <row r="54" spans="1:10" s="60" customFormat="1" x14ac:dyDescent="0.35">
      <c r="B54" s="57"/>
      <c r="C54" s="15"/>
      <c r="D54" s="15"/>
      <c r="E54" s="15"/>
      <c r="F54" s="15"/>
      <c r="G54" s="15"/>
      <c r="H54" s="15"/>
      <c r="I54" s="15"/>
      <c r="J54" s="15"/>
    </row>
    <row r="55" spans="1:10" s="60" customFormat="1" ht="43.5" x14ac:dyDescent="0.35">
      <c r="A55" s="109" t="s">
        <v>385</v>
      </c>
      <c r="B55" s="112">
        <v>0.15</v>
      </c>
      <c r="C55" s="48">
        <v>1</v>
      </c>
      <c r="D55" s="48">
        <v>2</v>
      </c>
      <c r="E55" s="48">
        <v>3</v>
      </c>
      <c r="F55" s="48">
        <v>4</v>
      </c>
      <c r="G55" s="48">
        <v>5</v>
      </c>
      <c r="H55" s="48">
        <v>6</v>
      </c>
      <c r="I55" s="48">
        <v>7</v>
      </c>
      <c r="J55" s="48">
        <v>8</v>
      </c>
    </row>
    <row r="56" spans="1:10" s="60" customFormat="1" x14ac:dyDescent="0.35">
      <c r="A56" s="11" t="s">
        <v>382</v>
      </c>
      <c r="B56" s="110"/>
      <c r="C56" s="24">
        <f>($C$34-$C$34*5.5%)*C55</f>
        <v>5.2578801279627863</v>
      </c>
      <c r="D56" s="24">
        <f>($C$34-$C$34*5.5%)*D55</f>
        <v>10.515760255925573</v>
      </c>
      <c r="E56" s="24">
        <f t="shared" ref="E56:J56" si="13">($C$34-$C$34*5.5%)*E55</f>
        <v>15.77364038388836</v>
      </c>
      <c r="F56" s="24">
        <f t="shared" si="13"/>
        <v>21.031520511851145</v>
      </c>
      <c r="G56" s="24">
        <f t="shared" si="13"/>
        <v>26.28940063981393</v>
      </c>
      <c r="H56" s="24">
        <f t="shared" si="13"/>
        <v>31.547280767776719</v>
      </c>
      <c r="I56" s="24">
        <f t="shared" si="13"/>
        <v>36.805160895739505</v>
      </c>
      <c r="J56" s="24">
        <f t="shared" si="13"/>
        <v>42.06304102370229</v>
      </c>
    </row>
    <row r="57" spans="1:10" s="60" customFormat="1" x14ac:dyDescent="0.35">
      <c r="A57" s="11" t="s">
        <v>281</v>
      </c>
      <c r="B57" s="16"/>
      <c r="C57" s="115">
        <f>C56*$B$55</f>
        <v>0.78868201919441794</v>
      </c>
      <c r="D57" s="115">
        <f t="shared" ref="D57:J57" si="14">D56*$B$55</f>
        <v>1.5773640383888359</v>
      </c>
      <c r="E57" s="115">
        <f t="shared" si="14"/>
        <v>2.366046057583254</v>
      </c>
      <c r="F57" s="115">
        <f t="shared" si="14"/>
        <v>3.1547280767776718</v>
      </c>
      <c r="G57" s="115">
        <f t="shared" si="14"/>
        <v>3.9434100959720895</v>
      </c>
      <c r="H57" s="115">
        <f t="shared" si="14"/>
        <v>4.7320921151665081</v>
      </c>
      <c r="I57" s="115">
        <f t="shared" si="14"/>
        <v>5.5207741343609253</v>
      </c>
      <c r="J57" s="115">
        <f t="shared" si="14"/>
        <v>6.3094561535553435</v>
      </c>
    </row>
    <row r="58" spans="1:10" s="60" customFormat="1" x14ac:dyDescent="0.35">
      <c r="B58" s="57"/>
      <c r="C58" s="114"/>
      <c r="D58" s="114"/>
      <c r="E58" s="114"/>
      <c r="F58" s="114"/>
      <c r="G58" s="114"/>
      <c r="H58" s="114"/>
      <c r="I58" s="114"/>
      <c r="J58" s="114"/>
    </row>
    <row r="59" spans="1:10" s="60" customFormat="1" ht="43.5" x14ac:dyDescent="0.35">
      <c r="A59" s="109" t="s">
        <v>394</v>
      </c>
      <c r="B59" s="112">
        <v>0.1</v>
      </c>
      <c r="C59" s="48">
        <v>1</v>
      </c>
      <c r="D59" s="48">
        <v>2</v>
      </c>
      <c r="E59" s="48">
        <v>3</v>
      </c>
      <c r="F59" s="48">
        <v>4</v>
      </c>
      <c r="G59" s="48">
        <v>5</v>
      </c>
      <c r="H59" s="48">
        <v>6</v>
      </c>
      <c r="I59" s="48">
        <v>7</v>
      </c>
      <c r="J59" s="48">
        <v>8</v>
      </c>
    </row>
    <row r="60" spans="1:10" s="60" customFormat="1" x14ac:dyDescent="0.35">
      <c r="A60" s="11" t="s">
        <v>382</v>
      </c>
      <c r="B60" s="16"/>
      <c r="C60" s="24">
        <f>($C$34-$C$34*5.5%)*C59</f>
        <v>5.2578801279627863</v>
      </c>
      <c r="D60" s="24">
        <f>($C$34-$C$34*5.5%)*D59</f>
        <v>10.515760255925573</v>
      </c>
      <c r="E60" s="24">
        <f t="shared" ref="E60:J60" si="15">($C$34-$C$34*5.5%)*E59</f>
        <v>15.77364038388836</v>
      </c>
      <c r="F60" s="24">
        <f t="shared" si="15"/>
        <v>21.031520511851145</v>
      </c>
      <c r="G60" s="24">
        <f t="shared" si="15"/>
        <v>26.28940063981393</v>
      </c>
      <c r="H60" s="24">
        <f t="shared" si="15"/>
        <v>31.547280767776719</v>
      </c>
      <c r="I60" s="24">
        <f t="shared" si="15"/>
        <v>36.805160895739505</v>
      </c>
      <c r="J60" s="24">
        <f t="shared" si="15"/>
        <v>42.06304102370229</v>
      </c>
    </row>
    <row r="61" spans="1:10" s="60" customFormat="1" x14ac:dyDescent="0.35">
      <c r="A61" s="11" t="s">
        <v>386</v>
      </c>
      <c r="B61" s="16"/>
      <c r="C61" s="113">
        <f>C60*$B$59</f>
        <v>0.52578801279627863</v>
      </c>
      <c r="D61" s="113">
        <f t="shared" ref="D61:J61" si="16">D60*$B$59</f>
        <v>1.0515760255925573</v>
      </c>
      <c r="E61" s="113">
        <f t="shared" si="16"/>
        <v>1.5773640383888361</v>
      </c>
      <c r="F61" s="113">
        <f t="shared" si="16"/>
        <v>2.1031520511851145</v>
      </c>
      <c r="G61" s="113">
        <f t="shared" si="16"/>
        <v>2.6289400639813931</v>
      </c>
      <c r="H61" s="113">
        <f t="shared" si="16"/>
        <v>3.1547280767776722</v>
      </c>
      <c r="I61" s="113">
        <f t="shared" si="16"/>
        <v>3.6805160895739508</v>
      </c>
      <c r="J61" s="113">
        <f t="shared" si="16"/>
        <v>4.206304102370229</v>
      </c>
    </row>
    <row r="62" spans="1:10" s="60" customFormat="1" x14ac:dyDescent="0.35">
      <c r="A62" s="11" t="s">
        <v>387</v>
      </c>
      <c r="B62" s="16"/>
      <c r="C62" s="113">
        <f>C51-C61</f>
        <v>0.99999999999999956</v>
      </c>
      <c r="D62" s="113">
        <f t="shared" ref="D62:J62" si="17">D51-D61</f>
        <v>1.9999999999999991</v>
      </c>
      <c r="E62" s="113">
        <f t="shared" si="17"/>
        <v>3</v>
      </c>
      <c r="F62" s="113">
        <f>F51-F61</f>
        <v>3.9999999999999982</v>
      </c>
      <c r="G62" s="113">
        <f t="shared" si="17"/>
        <v>4.9999999999999964</v>
      </c>
      <c r="H62" s="113">
        <f t="shared" si="17"/>
        <v>6</v>
      </c>
      <c r="I62" s="113">
        <f t="shared" si="17"/>
        <v>6.9999999999999911</v>
      </c>
      <c r="J62" s="113">
        <f t="shared" si="17"/>
        <v>7.9999999999999964</v>
      </c>
    </row>
    <row r="64" spans="1:10" x14ac:dyDescent="0.35">
      <c r="A64" s="68" t="s">
        <v>416</v>
      </c>
      <c r="B64" s="67"/>
      <c r="C64" s="67"/>
      <c r="D64" s="67"/>
      <c r="E64" s="67"/>
      <c r="F64" s="67"/>
      <c r="G64" s="67"/>
      <c r="H64" s="67"/>
      <c r="I64" s="67"/>
      <c r="J64" s="67"/>
    </row>
    <row r="66" spans="1:10" x14ac:dyDescent="0.35">
      <c r="A66" s="117" t="s">
        <v>389</v>
      </c>
      <c r="B66" s="118"/>
    </row>
    <row r="67" spans="1:10" x14ac:dyDescent="0.35">
      <c r="A67" s="116" t="s">
        <v>393</v>
      </c>
      <c r="B67" s="145">
        <f>J57</f>
        <v>6.3094561535553435</v>
      </c>
    </row>
    <row r="68" spans="1:10" x14ac:dyDescent="0.35">
      <c r="A68" s="42" t="s">
        <v>392</v>
      </c>
      <c r="B68" s="24">
        <f>F46</f>
        <v>6.1031520511851127</v>
      </c>
    </row>
    <row r="69" spans="1:10" x14ac:dyDescent="0.35">
      <c r="A69" s="120" t="s">
        <v>48</v>
      </c>
      <c r="B69" s="34">
        <f>SUM(B67:B68)</f>
        <v>12.412608204740456</v>
      </c>
    </row>
    <row r="71" spans="1:10" x14ac:dyDescent="0.35">
      <c r="A71" s="117" t="s">
        <v>390</v>
      </c>
      <c r="B71" s="118"/>
    </row>
    <row r="72" spans="1:10" x14ac:dyDescent="0.35">
      <c r="A72" s="116" t="s">
        <v>393</v>
      </c>
      <c r="B72" s="145">
        <f>J57</f>
        <v>6.3094561535553435</v>
      </c>
    </row>
    <row r="73" spans="1:10" x14ac:dyDescent="0.35">
      <c r="A73" s="42" t="s">
        <v>392</v>
      </c>
      <c r="B73" s="24">
        <f>F62</f>
        <v>3.9999999999999982</v>
      </c>
    </row>
    <row r="74" spans="1:10" x14ac:dyDescent="0.35">
      <c r="A74" s="120" t="s">
        <v>48</v>
      </c>
      <c r="B74" s="34">
        <f>SUM(B72:B73)</f>
        <v>10.309456153555342</v>
      </c>
    </row>
    <row r="76" spans="1:10" x14ac:dyDescent="0.35">
      <c r="A76" s="68" t="s">
        <v>422</v>
      </c>
      <c r="B76" s="67"/>
      <c r="C76" s="67"/>
      <c r="D76" s="67"/>
      <c r="E76" s="67"/>
      <c r="F76" s="67"/>
      <c r="G76" s="67"/>
      <c r="H76" s="67"/>
      <c r="I76" s="67"/>
      <c r="J76" s="67"/>
    </row>
    <row r="78" spans="1:10" x14ac:dyDescent="0.35">
      <c r="A78" s="117" t="s">
        <v>389</v>
      </c>
      <c r="B78" s="118"/>
    </row>
    <row r="79" spans="1:10" x14ac:dyDescent="0.35">
      <c r="A79" s="42" t="s">
        <v>405</v>
      </c>
      <c r="B79" s="24">
        <f>D34</f>
        <v>44.511154522436286</v>
      </c>
    </row>
    <row r="80" spans="1:10" x14ac:dyDescent="0.35">
      <c r="A80" s="116" t="s">
        <v>393</v>
      </c>
      <c r="B80" s="145">
        <f>0-J57</f>
        <v>-6.3094561535553435</v>
      </c>
    </row>
    <row r="81" spans="1:2" x14ac:dyDescent="0.35">
      <c r="A81" s="120" t="s">
        <v>48</v>
      </c>
      <c r="B81" s="34">
        <f>SUM(B79:B80)</f>
        <v>38.20169836888094</v>
      </c>
    </row>
    <row r="83" spans="1:2" x14ac:dyDescent="0.35">
      <c r="A83" s="133" t="s">
        <v>390</v>
      </c>
      <c r="B83" s="134"/>
    </row>
    <row r="84" spans="1:2" x14ac:dyDescent="0.35">
      <c r="A84" s="42" t="s">
        <v>405</v>
      </c>
      <c r="B84" s="24">
        <f>D34</f>
        <v>44.511154522436286</v>
      </c>
    </row>
    <row r="85" spans="1:2" x14ac:dyDescent="0.35">
      <c r="A85" s="42" t="s">
        <v>393</v>
      </c>
      <c r="B85" s="24">
        <f>0-J57</f>
        <v>-6.3094561535553435</v>
      </c>
    </row>
    <row r="86" spans="1:2" x14ac:dyDescent="0.35">
      <c r="A86" s="42" t="s">
        <v>406</v>
      </c>
      <c r="B86" s="24">
        <f>F61</f>
        <v>2.1031520511851145</v>
      </c>
    </row>
    <row r="87" spans="1:2" x14ac:dyDescent="0.35">
      <c r="A87" s="120" t="s">
        <v>48</v>
      </c>
      <c r="B87" s="34">
        <f>SUM(B84:B86)</f>
        <v>40.304850420066053</v>
      </c>
    </row>
    <row r="88" spans="1:2" s="40" customFormat="1" x14ac:dyDescent="0.35">
      <c r="A88" s="121"/>
      <c r="B88" s="122"/>
    </row>
    <row r="89" spans="1:2" s="40" customFormat="1" x14ac:dyDescent="0.35">
      <c r="A89" s="121"/>
      <c r="B89" s="122"/>
    </row>
    <row r="90" spans="1:2" s="40" customFormat="1" x14ac:dyDescent="0.35">
      <c r="A90" s="37" t="s">
        <v>96</v>
      </c>
      <c r="B90" s="122"/>
    </row>
    <row r="91" spans="1:2" s="40" customFormat="1" x14ac:dyDescent="0.35">
      <c r="A91" s="121"/>
      <c r="B91" s="122"/>
    </row>
    <row r="92" spans="1:2" x14ac:dyDescent="0.35">
      <c r="A92" s="2" t="s">
        <v>67</v>
      </c>
      <c r="B92" s="7"/>
    </row>
    <row r="93" spans="1:2" x14ac:dyDescent="0.35">
      <c r="A93" s="7" t="s">
        <v>116</v>
      </c>
      <c r="B93" s="7"/>
    </row>
    <row r="94" spans="1:2" x14ac:dyDescent="0.35">
      <c r="A94" s="7" t="s">
        <v>140</v>
      </c>
      <c r="B94" s="7"/>
    </row>
    <row r="96" spans="1:2" x14ac:dyDescent="0.35">
      <c r="A96" s="39" t="s">
        <v>115</v>
      </c>
      <c r="B96" s="40"/>
    </row>
  </sheetData>
  <conditionalFormatting sqref="C50:J50">
    <cfRule type="cellIs" dxfId="88" priority="7" operator="greaterThanOrEqual">
      <formula>1</formula>
    </cfRule>
    <cfRule type="cellIs" dxfId="87" priority="8" operator="between">
      <formula>0.5</formula>
      <formula>1</formula>
    </cfRule>
  </conditionalFormatting>
  <conditionalFormatting sqref="C51:J51">
    <cfRule type="cellIs" dxfId="86" priority="5" operator="between">
      <formula>2</formula>
      <formula>4</formula>
    </cfRule>
    <cfRule type="cellIs" dxfId="85" priority="6" operator="greaterThanOrEqual">
      <formula>4</formula>
    </cfRule>
  </conditionalFormatting>
  <conditionalFormatting sqref="C61:J61">
    <cfRule type="cellIs" dxfId="84" priority="4" operator="greaterThanOrEqual">
      <formula>$J$57</formula>
    </cfRule>
  </conditionalFormatting>
  <conditionalFormatting sqref="C62:J62">
    <cfRule type="cellIs" dxfId="83" priority="2" operator="between">
      <formula>2</formula>
      <formula>4</formula>
    </cfRule>
    <cfRule type="cellIs" dxfId="82" priority="3" operator="greaterThanOrEqual">
      <formula>4</formula>
    </cfRule>
  </conditionalFormatting>
  <conditionalFormatting sqref="C57:J57">
    <cfRule type="cellIs" dxfId="81" priority="1" operator="greaterThanOrEqual">
      <formula>0.5</formula>
    </cfRule>
  </conditionalFormatting>
  <dataValidations count="1">
    <dataValidation type="list" allowBlank="1" showInputMessage="1" showErrorMessage="1" sqref="F6 A6:A24">
      <formula1>Ingrédients_recettes</formula1>
    </dataValidation>
  </dataValidations>
  <pageMargins left="0.7" right="0.7" top="0.75" bottom="0.75" header="0.3" footer="0.3"/>
  <pageSetup paperSize="9" scale="59" orientation="portrait" horizontalDpi="4294967293" verticalDpi="4294967293"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9"/>
  <sheetViews>
    <sheetView topLeftCell="A11" workbookViewId="0">
      <selection activeCell="B12" sqref="B12"/>
    </sheetView>
  </sheetViews>
  <sheetFormatPr baseColWidth="10" defaultRowHeight="14.5" x14ac:dyDescent="0.35"/>
  <cols>
    <col min="1" max="1" width="34.1796875" customWidth="1"/>
    <col min="2" max="2" width="14.6328125" bestFit="1" customWidth="1"/>
    <col min="3" max="3" width="13.1796875" bestFit="1" customWidth="1"/>
    <col min="4" max="4" width="14.36328125" bestFit="1" customWidth="1"/>
    <col min="5" max="5" width="10.1796875" bestFit="1" customWidth="1"/>
    <col min="6" max="6" width="12" customWidth="1"/>
    <col min="7" max="7" width="9.81640625" customWidth="1"/>
    <col min="8" max="8" width="10.90625" customWidth="1"/>
  </cols>
  <sheetData>
    <row r="1" spans="1:9" x14ac:dyDescent="0.35">
      <c r="A1" s="103" t="s">
        <v>511</v>
      </c>
      <c r="B1" s="104"/>
      <c r="C1" s="104"/>
      <c r="D1" s="104"/>
      <c r="E1" s="104"/>
      <c r="F1" s="104"/>
      <c r="G1" s="104"/>
      <c r="H1" s="63"/>
    </row>
    <row r="2" spans="1:9" s="38" customFormat="1" x14ac:dyDescent="0.35">
      <c r="A2" s="73"/>
      <c r="B2" s="74"/>
      <c r="C2" s="74"/>
      <c r="D2" s="74"/>
      <c r="E2" s="74"/>
      <c r="F2" s="74"/>
      <c r="G2" s="74"/>
    </row>
    <row r="3" spans="1:9" s="38" customFormat="1" x14ac:dyDescent="0.35">
      <c r="A3" s="68" t="s">
        <v>276</v>
      </c>
      <c r="B3" s="75"/>
      <c r="C3" s="75"/>
      <c r="D3" s="75"/>
      <c r="E3" s="75"/>
      <c r="F3" s="75"/>
      <c r="G3" s="75"/>
      <c r="H3" s="67"/>
    </row>
    <row r="5" spans="1:9" x14ac:dyDescent="0.35">
      <c r="A5" s="2" t="s">
        <v>68</v>
      </c>
      <c r="B5" s="2" t="s">
        <v>41</v>
      </c>
      <c r="C5" s="2" t="s">
        <v>42</v>
      </c>
      <c r="D5" s="2" t="s">
        <v>40</v>
      </c>
    </row>
    <row r="6" spans="1:9" x14ac:dyDescent="0.35">
      <c r="A6" s="7" t="s">
        <v>514</v>
      </c>
      <c r="B6" s="4">
        <v>4</v>
      </c>
      <c r="C6" s="31">
        <f t="shared" ref="C6:C17" si="0">IF(ISERROR(VLOOKUP(A6,Tableau_produits,6,FALSE)),0,VLOOKUP(A6,Tableau_produits,6,FALSE))</f>
        <v>3</v>
      </c>
      <c r="D6" s="32">
        <f>C6*B6</f>
        <v>12</v>
      </c>
      <c r="E6" s="88"/>
      <c r="I6" s="89"/>
    </row>
    <row r="7" spans="1:9" x14ac:dyDescent="0.35">
      <c r="A7" s="7" t="s">
        <v>515</v>
      </c>
      <c r="B7" s="4">
        <v>0.4</v>
      </c>
      <c r="C7" s="31">
        <f t="shared" si="0"/>
        <v>9.3575418994413422</v>
      </c>
      <c r="D7" s="32">
        <f>C7*B7</f>
        <v>3.7430167597765371</v>
      </c>
      <c r="I7" s="89"/>
    </row>
    <row r="8" spans="1:9" x14ac:dyDescent="0.35">
      <c r="A8" s="7" t="s">
        <v>516</v>
      </c>
      <c r="B8" s="4">
        <v>0.2</v>
      </c>
      <c r="C8" s="31">
        <f t="shared" si="0"/>
        <v>3.2584269662921348</v>
      </c>
      <c r="D8" s="32">
        <f t="shared" ref="D8:D17" si="1">C8*B8</f>
        <v>0.651685393258427</v>
      </c>
      <c r="I8" s="89"/>
    </row>
    <row r="9" spans="1:9" x14ac:dyDescent="0.35">
      <c r="A9" s="7" t="s">
        <v>519</v>
      </c>
      <c r="B9" s="4">
        <v>0.15</v>
      </c>
      <c r="C9" s="31">
        <f t="shared" si="0"/>
        <v>7.5333333333333341</v>
      </c>
      <c r="D9" s="32">
        <f t="shared" si="1"/>
        <v>1.1300000000000001</v>
      </c>
      <c r="I9" s="89"/>
    </row>
    <row r="10" spans="1:9" x14ac:dyDescent="0.35">
      <c r="A10" s="7" t="s">
        <v>500</v>
      </c>
      <c r="B10" s="86">
        <v>0.15</v>
      </c>
      <c r="C10" s="31">
        <f t="shared" si="0"/>
        <v>10.4</v>
      </c>
      <c r="D10" s="32">
        <f t="shared" si="1"/>
        <v>1.56</v>
      </c>
      <c r="I10" s="40"/>
    </row>
    <row r="11" spans="1:9" x14ac:dyDescent="0.35">
      <c r="A11" s="7" t="s">
        <v>136</v>
      </c>
      <c r="B11" s="10">
        <f>0.0005</f>
        <v>5.0000000000000001E-4</v>
      </c>
      <c r="C11" s="31">
        <f t="shared" si="0"/>
        <v>94.199999999999989</v>
      </c>
      <c r="D11" s="32">
        <f t="shared" si="1"/>
        <v>4.7099999999999996E-2</v>
      </c>
    </row>
    <row r="12" spans="1:9" x14ac:dyDescent="0.35">
      <c r="A12" s="7" t="s">
        <v>111</v>
      </c>
      <c r="B12" s="10">
        <f>0.001</f>
        <v>1E-3</v>
      </c>
      <c r="C12" s="31">
        <f t="shared" si="0"/>
        <v>4.9800000000000004</v>
      </c>
      <c r="D12" s="33">
        <f t="shared" si="1"/>
        <v>4.9800000000000009E-3</v>
      </c>
    </row>
    <row r="13" spans="1:9" x14ac:dyDescent="0.35">
      <c r="A13" s="7" t="s">
        <v>520</v>
      </c>
      <c r="B13" s="4">
        <v>0.11</v>
      </c>
      <c r="C13" s="31">
        <f t="shared" si="0"/>
        <v>4.5454545454545459</v>
      </c>
      <c r="D13" s="33">
        <f t="shared" si="1"/>
        <v>0.5</v>
      </c>
    </row>
    <row r="14" spans="1:9" x14ac:dyDescent="0.35">
      <c r="A14" s="7" t="s">
        <v>521</v>
      </c>
      <c r="B14" s="4">
        <v>0.34599999999999997</v>
      </c>
      <c r="C14" s="31">
        <f t="shared" si="0"/>
        <v>4.5953757225433529</v>
      </c>
      <c r="D14" s="33">
        <f t="shared" si="1"/>
        <v>1.59</v>
      </c>
    </row>
    <row r="15" spans="1:9" x14ac:dyDescent="0.35">
      <c r="A15" s="7" t="s">
        <v>152</v>
      </c>
      <c r="B15" s="4">
        <v>0.02</v>
      </c>
      <c r="C15" s="31">
        <f t="shared" ref="C15" si="2">IF(ISERROR(VLOOKUP(A15,Tableau_produits,6,FALSE)),0,VLOOKUP(A15,Tableau_produits,6,FALSE))</f>
        <v>2.2200000000000002</v>
      </c>
      <c r="D15" s="33">
        <f t="shared" ref="D15" si="3">C15*B15</f>
        <v>4.4400000000000002E-2</v>
      </c>
    </row>
    <row r="16" spans="1:9" x14ac:dyDescent="0.35">
      <c r="A16" s="7" t="s">
        <v>367</v>
      </c>
      <c r="B16" s="4">
        <f>0.07*4</f>
        <v>0.28000000000000003</v>
      </c>
      <c r="C16" s="31">
        <f t="shared" ref="C16" si="4">IF(ISERROR(VLOOKUP(A16,Tableau_produits,6,FALSE)),0,VLOOKUP(A16,Tableau_produits,6,FALSE))</f>
        <v>5.4</v>
      </c>
      <c r="D16" s="33">
        <f t="shared" ref="D16" si="5">C16*B16</f>
        <v>1.5120000000000002</v>
      </c>
    </row>
    <row r="17" spans="1:10" x14ac:dyDescent="0.35">
      <c r="A17" s="7" t="s">
        <v>109</v>
      </c>
      <c r="B17" s="87">
        <v>0.02</v>
      </c>
      <c r="C17" s="31">
        <f t="shared" si="0"/>
        <v>9.56</v>
      </c>
      <c r="D17" s="33">
        <f t="shared" si="1"/>
        <v>0.19120000000000001</v>
      </c>
    </row>
    <row r="18" spans="1:10" x14ac:dyDescent="0.35">
      <c r="A18" s="13" t="s">
        <v>48</v>
      </c>
      <c r="B18" s="13"/>
      <c r="C18" s="13"/>
      <c r="D18" s="34">
        <f>SUM(D6:D17)</f>
        <v>22.974382153034959</v>
      </c>
    </row>
    <row r="19" spans="1:10" x14ac:dyDescent="0.35">
      <c r="A19" s="34" t="str">
        <f>"Coût par portion ("&amp;ROUND(C22*1000,0)&amp;"g)"</f>
        <v>Coût par portion (0g)</v>
      </c>
      <c r="B19" s="13"/>
      <c r="C19" s="13"/>
      <c r="D19" s="34">
        <f>IF(E22=0,0,D18/E22)</f>
        <v>5.7435955382587398</v>
      </c>
    </row>
    <row r="21" spans="1:10" ht="43.5" x14ac:dyDescent="0.35">
      <c r="A21" s="2" t="s">
        <v>90</v>
      </c>
      <c r="B21" s="28" t="s">
        <v>91</v>
      </c>
      <c r="C21" s="28" t="s">
        <v>94</v>
      </c>
      <c r="D21" s="28" t="s">
        <v>92</v>
      </c>
      <c r="E21" s="28" t="s">
        <v>95</v>
      </c>
    </row>
    <row r="22" spans="1:10" x14ac:dyDescent="0.35">
      <c r="A22" s="7" t="s">
        <v>93</v>
      </c>
      <c r="B22" s="7"/>
      <c r="C22" s="7">
        <v>0</v>
      </c>
      <c r="D22" s="30">
        <v>4</v>
      </c>
      <c r="E22" s="35">
        <f>TRUNC(D22)</f>
        <v>4</v>
      </c>
    </row>
    <row r="23" spans="1:10" s="38" customFormat="1" x14ac:dyDescent="0.35">
      <c r="A23" s="60"/>
      <c r="B23" s="60"/>
      <c r="C23" s="60"/>
      <c r="D23" s="64"/>
      <c r="E23" s="60"/>
    </row>
    <row r="24" spans="1:10" s="38" customFormat="1" x14ac:dyDescent="0.35">
      <c r="A24" s="71" t="s">
        <v>277</v>
      </c>
      <c r="B24" s="69"/>
      <c r="C24" s="69"/>
      <c r="D24" s="70"/>
      <c r="E24" s="69"/>
      <c r="F24" s="67"/>
      <c r="G24" s="67"/>
      <c r="H24" s="67"/>
    </row>
    <row r="25" spans="1:10" s="38" customFormat="1" x14ac:dyDescent="0.35">
      <c r="A25" s="60"/>
      <c r="B25" s="60"/>
      <c r="C25" s="60"/>
      <c r="D25" s="64"/>
      <c r="E25" s="60"/>
    </row>
    <row r="26" spans="1:10" s="38" customFormat="1" x14ac:dyDescent="0.35">
      <c r="A26" s="16" t="s">
        <v>274</v>
      </c>
      <c r="B26" s="2" t="s">
        <v>267</v>
      </c>
      <c r="C26" s="2" t="s">
        <v>268</v>
      </c>
      <c r="D26" s="2" t="s">
        <v>269</v>
      </c>
      <c r="E26"/>
    </row>
    <row r="27" spans="1:10" s="38" customFormat="1" x14ac:dyDescent="0.35">
      <c r="A27" s="7" t="s">
        <v>270</v>
      </c>
      <c r="B27" s="78">
        <v>8</v>
      </c>
      <c r="C27" s="24">
        <f>D19</f>
        <v>5.7435955382587398</v>
      </c>
      <c r="D27" s="35">
        <f>C27*B27</f>
        <v>45.948764306069918</v>
      </c>
      <c r="E27"/>
      <c r="G27" s="144"/>
    </row>
    <row r="28" spans="1:10" s="38" customFormat="1" x14ac:dyDescent="0.35">
      <c r="A28" s="7" t="s">
        <v>271</v>
      </c>
      <c r="B28" s="78">
        <v>4</v>
      </c>
      <c r="C28" s="24">
        <f>C27</f>
        <v>5.7435955382587398</v>
      </c>
      <c r="D28" s="35">
        <f>C28*B28</f>
        <v>22.974382153034959</v>
      </c>
      <c r="E28"/>
      <c r="F28"/>
    </row>
    <row r="29" spans="1:10" s="38" customFormat="1" x14ac:dyDescent="0.35">
      <c r="A29" s="7" t="s">
        <v>272</v>
      </c>
      <c r="B29" s="35">
        <f>B27-B28</f>
        <v>4</v>
      </c>
      <c r="C29" s="66">
        <f>(D29/B29)*90%</f>
        <v>10.338471968865733</v>
      </c>
      <c r="D29" s="35">
        <f>D27</f>
        <v>45.948764306069918</v>
      </c>
      <c r="E29"/>
      <c r="F29" s="83"/>
      <c r="G29"/>
      <c r="H29"/>
    </row>
    <row r="30" spans="1:10" s="38" customFormat="1" x14ac:dyDescent="0.35">
      <c r="A30" s="60"/>
      <c r="B30" s="60"/>
      <c r="C30" s="60"/>
      <c r="D30" s="64"/>
      <c r="E30" s="60"/>
    </row>
    <row r="31" spans="1:10" x14ac:dyDescent="0.35">
      <c r="A31" s="16" t="s">
        <v>275</v>
      </c>
      <c r="B31" s="50" t="s">
        <v>235</v>
      </c>
      <c r="C31" s="45">
        <v>1</v>
      </c>
      <c r="D31" s="45">
        <v>2</v>
      </c>
      <c r="E31" s="45">
        <v>3</v>
      </c>
      <c r="F31" s="45">
        <v>4</v>
      </c>
      <c r="G31" s="46">
        <v>5</v>
      </c>
      <c r="H31" s="46">
        <v>6</v>
      </c>
      <c r="I31" s="46">
        <v>7</v>
      </c>
      <c r="J31" s="46">
        <v>8</v>
      </c>
    </row>
    <row r="32" spans="1:10" x14ac:dyDescent="0.35">
      <c r="A32" s="17" t="s">
        <v>51</v>
      </c>
      <c r="B32" s="53"/>
      <c r="C32" s="24">
        <f>$C$29*C31</f>
        <v>10.338471968865733</v>
      </c>
      <c r="D32" s="24">
        <f t="shared" ref="D32:J32" si="6">$C$29*D31</f>
        <v>20.676943937731465</v>
      </c>
      <c r="E32" s="24">
        <f t="shared" si="6"/>
        <v>31.015415906597198</v>
      </c>
      <c r="F32" s="24">
        <f t="shared" si="6"/>
        <v>41.353887875462931</v>
      </c>
      <c r="G32" s="24">
        <f t="shared" si="6"/>
        <v>51.692359844328664</v>
      </c>
      <c r="H32" s="24">
        <f t="shared" si="6"/>
        <v>62.030831813194396</v>
      </c>
      <c r="I32" s="24">
        <f t="shared" si="6"/>
        <v>72.369303782060129</v>
      </c>
      <c r="J32" s="24">
        <f t="shared" si="6"/>
        <v>82.707775750925862</v>
      </c>
    </row>
    <row r="33" spans="1:10" x14ac:dyDescent="0.35">
      <c r="A33" s="16" t="s">
        <v>391</v>
      </c>
      <c r="B33" s="54">
        <v>1</v>
      </c>
      <c r="C33" s="24">
        <f>(($C$32+$B$33)+$C$54)*C31</f>
        <v>11.881241747231183</v>
      </c>
      <c r="D33" s="24">
        <f t="shared" ref="D33:J33" si="7">(($C$32+$B$33)+$C$54)*D31</f>
        <v>23.762483494462366</v>
      </c>
      <c r="E33" s="24">
        <f t="shared" si="7"/>
        <v>35.643725241693545</v>
      </c>
      <c r="F33" s="24">
        <f t="shared" si="7"/>
        <v>47.524966988924731</v>
      </c>
      <c r="G33" s="24">
        <f t="shared" si="7"/>
        <v>59.406208736155918</v>
      </c>
      <c r="H33" s="24">
        <f t="shared" si="7"/>
        <v>71.28745048338709</v>
      </c>
      <c r="I33" s="24">
        <f t="shared" si="7"/>
        <v>83.168692230618277</v>
      </c>
      <c r="J33" s="24">
        <f t="shared" si="7"/>
        <v>95.049933977849463</v>
      </c>
    </row>
    <row r="34" spans="1:10" x14ac:dyDescent="0.35">
      <c r="A34" s="55" t="s">
        <v>380</v>
      </c>
      <c r="B34" s="56"/>
      <c r="C34" s="34">
        <f>C33+(C33*5.5%)</f>
        <v>12.534710043328898</v>
      </c>
      <c r="D34" s="34">
        <f t="shared" ref="D34:J34" si="8">D33+(D33*5.5%)</f>
        <v>25.069420086657797</v>
      </c>
      <c r="E34" s="34">
        <f t="shared" si="8"/>
        <v>37.604130129986693</v>
      </c>
      <c r="F34" s="34">
        <f t="shared" si="8"/>
        <v>50.138840173315593</v>
      </c>
      <c r="G34" s="34">
        <f t="shared" si="8"/>
        <v>62.673550216644493</v>
      </c>
      <c r="H34" s="34">
        <f t="shared" si="8"/>
        <v>75.208260259973386</v>
      </c>
      <c r="I34" s="34">
        <f t="shared" si="8"/>
        <v>87.742970303302286</v>
      </c>
      <c r="J34" s="34">
        <f t="shared" si="8"/>
        <v>100.27768034663119</v>
      </c>
    </row>
    <row r="35" spans="1:10" s="38" customFormat="1" x14ac:dyDescent="0.35">
      <c r="A35" s="49" t="s">
        <v>233</v>
      </c>
      <c r="B35" s="15"/>
      <c r="C35" s="15"/>
      <c r="D35" s="15"/>
      <c r="E35" s="15"/>
      <c r="F35" s="15"/>
      <c r="G35" s="15"/>
    </row>
    <row r="36" spans="1:10" x14ac:dyDescent="0.35">
      <c r="A36" s="15"/>
      <c r="B36" s="14"/>
      <c r="C36" s="14"/>
      <c r="D36" s="14"/>
      <c r="E36" s="14"/>
    </row>
    <row r="37" spans="1:10" x14ac:dyDescent="0.35">
      <c r="A37" s="16" t="s">
        <v>388</v>
      </c>
      <c r="B37" s="56"/>
      <c r="C37" s="47">
        <v>1</v>
      </c>
      <c r="D37" s="47">
        <v>2</v>
      </c>
      <c r="E37" s="47">
        <v>3</v>
      </c>
      <c r="F37" s="47">
        <v>4</v>
      </c>
      <c r="G37" s="48">
        <v>5</v>
      </c>
      <c r="H37" s="48">
        <v>6</v>
      </c>
      <c r="I37" s="48">
        <v>7</v>
      </c>
      <c r="J37" s="48">
        <v>8</v>
      </c>
    </row>
    <row r="38" spans="1:10" x14ac:dyDescent="0.35">
      <c r="A38" s="17" t="s">
        <v>52</v>
      </c>
      <c r="B38" s="56"/>
      <c r="C38" s="24">
        <f>C32-($C$27*C37)</f>
        <v>4.5948764306069929</v>
      </c>
      <c r="D38" s="24">
        <f t="shared" ref="D38:J38" si="9">D32-($C$27*D37)</f>
        <v>9.1897528612139858</v>
      </c>
      <c r="E38" s="24">
        <f t="shared" si="9"/>
        <v>13.784629291820977</v>
      </c>
      <c r="F38" s="24">
        <f t="shared" si="9"/>
        <v>18.379505722427972</v>
      </c>
      <c r="G38" s="24">
        <f t="shared" si="9"/>
        <v>22.974382153034966</v>
      </c>
      <c r="H38" s="24">
        <f t="shared" si="9"/>
        <v>27.569258583641954</v>
      </c>
      <c r="I38" s="24">
        <f t="shared" si="9"/>
        <v>32.164135014248949</v>
      </c>
      <c r="J38" s="24">
        <f t="shared" si="9"/>
        <v>36.759011444855943</v>
      </c>
    </row>
    <row r="39" spans="1:10" x14ac:dyDescent="0.35">
      <c r="A39" s="17" t="s">
        <v>53</v>
      </c>
      <c r="B39" s="56"/>
      <c r="C39" s="24">
        <f>C33-C32</f>
        <v>1.5427697783654502</v>
      </c>
      <c r="D39" s="24">
        <f t="shared" ref="D39:J39" si="10">D33-D32</f>
        <v>3.0855395567309003</v>
      </c>
      <c r="E39" s="24">
        <f t="shared" si="10"/>
        <v>4.6283093350963469</v>
      </c>
      <c r="F39" s="24">
        <f t="shared" si="10"/>
        <v>6.1710791134618006</v>
      </c>
      <c r="G39" s="24">
        <f t="shared" si="10"/>
        <v>7.7138488918272543</v>
      </c>
      <c r="H39" s="24">
        <f t="shared" si="10"/>
        <v>9.2566186701926938</v>
      </c>
      <c r="I39" s="24">
        <f t="shared" si="10"/>
        <v>10.799388448558148</v>
      </c>
      <c r="J39" s="24">
        <f t="shared" si="10"/>
        <v>12.342158226923601</v>
      </c>
    </row>
    <row r="40" spans="1:10" s="38" customFormat="1" x14ac:dyDescent="0.35">
      <c r="A40" s="49" t="s">
        <v>234</v>
      </c>
      <c r="B40" s="15"/>
      <c r="C40" s="15"/>
      <c r="D40" s="15"/>
      <c r="E40" s="15"/>
      <c r="F40" s="15"/>
    </row>
    <row r="42" spans="1:10" x14ac:dyDescent="0.35">
      <c r="A42" s="2" t="s">
        <v>236</v>
      </c>
      <c r="B42" s="56"/>
      <c r="C42" s="47">
        <v>1</v>
      </c>
      <c r="D42" s="47">
        <v>2</v>
      </c>
      <c r="E42" s="47">
        <v>3</v>
      </c>
      <c r="F42" s="47">
        <v>4</v>
      </c>
      <c r="G42" s="48">
        <v>5</v>
      </c>
      <c r="H42" s="48">
        <v>6</v>
      </c>
      <c r="I42" s="48">
        <v>7</v>
      </c>
      <c r="J42" s="48">
        <v>8</v>
      </c>
    </row>
    <row r="43" spans="1:10" x14ac:dyDescent="0.35">
      <c r="A43" s="7" t="s">
        <v>238</v>
      </c>
      <c r="B43" s="56"/>
      <c r="C43" s="59">
        <f>IF($D$27=0,0,(C32)/$D$27)</f>
        <v>0.22500000000000003</v>
      </c>
      <c r="D43" s="59">
        <f t="shared" ref="D43:J43" si="11">IF($D$27=0,0,(D32)/$D$27)</f>
        <v>0.45000000000000007</v>
      </c>
      <c r="E43" s="59">
        <f t="shared" si="11"/>
        <v>0.67500000000000004</v>
      </c>
      <c r="F43" s="59">
        <f>IF($D$27=0,0,(F32)/$D$27)</f>
        <v>0.90000000000000013</v>
      </c>
      <c r="G43" s="59">
        <f t="shared" si="11"/>
        <v>1.1250000000000002</v>
      </c>
      <c r="H43" s="59">
        <f t="shared" si="11"/>
        <v>1.35</v>
      </c>
      <c r="I43" s="59">
        <f t="shared" si="11"/>
        <v>1.5750000000000002</v>
      </c>
      <c r="J43" s="59">
        <f t="shared" si="11"/>
        <v>1.8000000000000003</v>
      </c>
    </row>
    <row r="44" spans="1:10" x14ac:dyDescent="0.35">
      <c r="A44" s="7" t="s">
        <v>383</v>
      </c>
      <c r="B44" s="56"/>
      <c r="C44" s="24">
        <f>C39</f>
        <v>1.5427697783654502</v>
      </c>
      <c r="D44" s="24">
        <f t="shared" ref="D44:J44" si="12">D39</f>
        <v>3.0855395567309003</v>
      </c>
      <c r="E44" s="24">
        <f t="shared" si="12"/>
        <v>4.6283093350963469</v>
      </c>
      <c r="F44" s="24">
        <f t="shared" si="12"/>
        <v>6.1710791134618006</v>
      </c>
      <c r="G44" s="24">
        <f t="shared" si="12"/>
        <v>7.7138488918272543</v>
      </c>
      <c r="H44" s="24">
        <f t="shared" si="12"/>
        <v>9.2566186701926938</v>
      </c>
      <c r="I44" s="24">
        <f t="shared" si="12"/>
        <v>10.799388448558148</v>
      </c>
      <c r="J44" s="24">
        <f t="shared" si="12"/>
        <v>12.342158226923601</v>
      </c>
    </row>
    <row r="45" spans="1:10" s="60" customFormat="1" x14ac:dyDescent="0.35">
      <c r="B45" s="57"/>
      <c r="C45" s="15"/>
      <c r="D45" s="15"/>
      <c r="E45" s="15"/>
      <c r="F45" s="15"/>
      <c r="G45" s="15"/>
      <c r="H45" s="15"/>
      <c r="I45" s="15"/>
      <c r="J45" s="15"/>
    </row>
    <row r="46" spans="1:10" s="60" customFormat="1" x14ac:dyDescent="0.35">
      <c r="A46" s="71" t="s">
        <v>384</v>
      </c>
      <c r="B46" s="76"/>
      <c r="C46" s="111"/>
      <c r="D46" s="111"/>
      <c r="E46" s="111"/>
      <c r="F46" s="111"/>
      <c r="G46" s="111"/>
      <c r="H46" s="111"/>
      <c r="I46" s="111"/>
      <c r="J46" s="111"/>
    </row>
    <row r="47" spans="1:10" s="60" customFormat="1" x14ac:dyDescent="0.35">
      <c r="B47" s="57"/>
      <c r="C47" s="15"/>
      <c r="D47" s="15"/>
      <c r="E47" s="15"/>
      <c r="F47" s="15"/>
      <c r="G47" s="15"/>
      <c r="H47" s="15"/>
      <c r="I47" s="15"/>
      <c r="J47" s="15"/>
    </row>
    <row r="48" spans="1:10" s="60" customFormat="1" ht="43.5" x14ac:dyDescent="0.35">
      <c r="A48" s="109" t="s">
        <v>385</v>
      </c>
      <c r="B48" s="112">
        <v>0.15</v>
      </c>
      <c r="C48" s="48">
        <v>1</v>
      </c>
      <c r="D48" s="48">
        <v>2</v>
      </c>
      <c r="E48" s="48">
        <v>3</v>
      </c>
      <c r="F48" s="48">
        <v>4</v>
      </c>
      <c r="G48" s="48">
        <v>5</v>
      </c>
      <c r="H48" s="48">
        <v>6</v>
      </c>
      <c r="I48" s="48">
        <v>7</v>
      </c>
      <c r="J48" s="48">
        <v>8</v>
      </c>
    </row>
    <row r="49" spans="1:10" s="60" customFormat="1" x14ac:dyDescent="0.35">
      <c r="A49" s="11" t="s">
        <v>382</v>
      </c>
      <c r="B49" s="110"/>
      <c r="C49" s="24">
        <f>($C$27-$C$27*5.5%)*C48</f>
        <v>5.4276977836545095</v>
      </c>
      <c r="D49" s="24">
        <f>($C$27-$C$27*5.5%)*D48</f>
        <v>10.855395567309019</v>
      </c>
      <c r="E49" s="24">
        <f t="shared" ref="E49:J49" si="13">($C$27-$C$27*5.5%)*E48</f>
        <v>16.283093350963529</v>
      </c>
      <c r="F49" s="24">
        <f t="shared" si="13"/>
        <v>21.710791134618038</v>
      </c>
      <c r="G49" s="24">
        <f t="shared" si="13"/>
        <v>27.138488918272547</v>
      </c>
      <c r="H49" s="24">
        <f t="shared" si="13"/>
        <v>32.566186701927059</v>
      </c>
      <c r="I49" s="24">
        <f t="shared" si="13"/>
        <v>37.993884485581567</v>
      </c>
      <c r="J49" s="24">
        <f t="shared" si="13"/>
        <v>43.421582269236076</v>
      </c>
    </row>
    <row r="50" spans="1:10" s="60" customFormat="1" x14ac:dyDescent="0.35">
      <c r="A50" s="11" t="s">
        <v>281</v>
      </c>
      <c r="B50" s="16"/>
      <c r="C50" s="115">
        <f>C49*$B$48</f>
        <v>0.81415466754817645</v>
      </c>
      <c r="D50" s="115">
        <f t="shared" ref="D50:J50" si="14">D49*$B$48</f>
        <v>1.6283093350963529</v>
      </c>
      <c r="E50" s="115">
        <f t="shared" si="14"/>
        <v>2.4424640026445292</v>
      </c>
      <c r="F50" s="115">
        <f t="shared" si="14"/>
        <v>3.2566186701927058</v>
      </c>
      <c r="G50" s="115">
        <f t="shared" si="14"/>
        <v>4.0707733377408815</v>
      </c>
      <c r="H50" s="115">
        <f t="shared" si="14"/>
        <v>4.8849280052890585</v>
      </c>
      <c r="I50" s="115">
        <f t="shared" si="14"/>
        <v>5.6990826728372346</v>
      </c>
      <c r="J50" s="115">
        <f t="shared" si="14"/>
        <v>6.5132373403854116</v>
      </c>
    </row>
    <row r="51" spans="1:10" s="60" customFormat="1" x14ac:dyDescent="0.35">
      <c r="B51" s="57"/>
      <c r="C51" s="114"/>
      <c r="D51" s="114"/>
      <c r="E51" s="114"/>
      <c r="F51" s="114"/>
      <c r="G51" s="114"/>
      <c r="H51" s="114"/>
      <c r="I51" s="114"/>
      <c r="J51" s="114"/>
    </row>
    <row r="52" spans="1:10" s="60" customFormat="1" ht="43.5" x14ac:dyDescent="0.35">
      <c r="A52" s="109" t="s">
        <v>394</v>
      </c>
      <c r="B52" s="112">
        <v>0.1</v>
      </c>
      <c r="C52" s="48">
        <v>1</v>
      </c>
      <c r="D52" s="48">
        <v>2</v>
      </c>
      <c r="E52" s="48">
        <v>3</v>
      </c>
      <c r="F52" s="48">
        <v>4</v>
      </c>
      <c r="G52" s="48">
        <v>5</v>
      </c>
      <c r="H52" s="48">
        <v>6</v>
      </c>
      <c r="I52" s="48">
        <v>7</v>
      </c>
      <c r="J52" s="48">
        <v>8</v>
      </c>
    </row>
    <row r="53" spans="1:10" s="60" customFormat="1" x14ac:dyDescent="0.35">
      <c r="A53" s="11" t="s">
        <v>382</v>
      </c>
      <c r="B53" s="16"/>
      <c r="C53" s="24">
        <f>($C$27-$C$27*5.5%)*C52</f>
        <v>5.4276977836545095</v>
      </c>
      <c r="D53" s="24">
        <f>($C$27-$C$27*5.5%)*D52</f>
        <v>10.855395567309019</v>
      </c>
      <c r="E53" s="24">
        <f t="shared" ref="E53:J53" si="15">($C$27-$C$27*5.5%)*E52</f>
        <v>16.283093350963529</v>
      </c>
      <c r="F53" s="24">
        <f t="shared" si="15"/>
        <v>21.710791134618038</v>
      </c>
      <c r="G53" s="24">
        <f t="shared" si="15"/>
        <v>27.138488918272547</v>
      </c>
      <c r="H53" s="24">
        <f t="shared" si="15"/>
        <v>32.566186701927059</v>
      </c>
      <c r="I53" s="24">
        <f t="shared" si="15"/>
        <v>37.993884485581567</v>
      </c>
      <c r="J53" s="24">
        <f t="shared" si="15"/>
        <v>43.421582269236076</v>
      </c>
    </row>
    <row r="54" spans="1:10" s="60" customFormat="1" x14ac:dyDescent="0.35">
      <c r="A54" s="11" t="s">
        <v>386</v>
      </c>
      <c r="B54" s="16"/>
      <c r="C54" s="113">
        <f>C53*$B$52</f>
        <v>0.54276977836545093</v>
      </c>
      <c r="D54" s="113">
        <f t="shared" ref="D54:J54" si="16">D53*$B$52</f>
        <v>1.0855395567309019</v>
      </c>
      <c r="E54" s="113">
        <f t="shared" si="16"/>
        <v>1.6283093350963531</v>
      </c>
      <c r="F54" s="113">
        <f t="shared" si="16"/>
        <v>2.1710791134618037</v>
      </c>
      <c r="G54" s="113">
        <f t="shared" si="16"/>
        <v>2.7138488918272548</v>
      </c>
      <c r="H54" s="113">
        <f t="shared" si="16"/>
        <v>3.2566186701927062</v>
      </c>
      <c r="I54" s="113">
        <f t="shared" si="16"/>
        <v>3.7993884485581568</v>
      </c>
      <c r="J54" s="113">
        <f t="shared" si="16"/>
        <v>4.3421582269236074</v>
      </c>
    </row>
    <row r="55" spans="1:10" s="60" customFormat="1" x14ac:dyDescent="0.35">
      <c r="A55" s="11" t="s">
        <v>387</v>
      </c>
      <c r="B55" s="16"/>
      <c r="C55" s="113">
        <f>C44-C54</f>
        <v>0.99999999999999922</v>
      </c>
      <c r="D55" s="113">
        <f t="shared" ref="D55:J55" si="17">D44-D54</f>
        <v>1.9999999999999984</v>
      </c>
      <c r="E55" s="113">
        <f t="shared" si="17"/>
        <v>2.9999999999999938</v>
      </c>
      <c r="F55" s="113">
        <f>F44-F54</f>
        <v>3.9999999999999969</v>
      </c>
      <c r="G55" s="113">
        <f t="shared" si="17"/>
        <v>5</v>
      </c>
      <c r="H55" s="113">
        <f t="shared" si="17"/>
        <v>5.9999999999999876</v>
      </c>
      <c r="I55" s="113">
        <f t="shared" si="17"/>
        <v>6.9999999999999911</v>
      </c>
      <c r="J55" s="113">
        <f t="shared" si="17"/>
        <v>7.9999999999999938</v>
      </c>
    </row>
    <row r="57" spans="1:10" x14ac:dyDescent="0.35">
      <c r="A57" s="68" t="s">
        <v>416</v>
      </c>
      <c r="B57" s="67"/>
      <c r="C57" s="67"/>
      <c r="D57" s="67"/>
      <c r="E57" s="67"/>
      <c r="F57" s="67"/>
      <c r="G57" s="67"/>
      <c r="H57" s="67"/>
      <c r="I57" s="67"/>
      <c r="J57" s="67"/>
    </row>
    <row r="59" spans="1:10" x14ac:dyDescent="0.35">
      <c r="A59" s="117" t="s">
        <v>389</v>
      </c>
      <c r="B59" s="118"/>
    </row>
    <row r="60" spans="1:10" x14ac:dyDescent="0.35">
      <c r="A60" s="116" t="s">
        <v>393</v>
      </c>
      <c r="B60" s="145">
        <f>J50</f>
        <v>6.5132373403854116</v>
      </c>
    </row>
    <row r="61" spans="1:10" x14ac:dyDescent="0.35">
      <c r="A61" s="42" t="s">
        <v>392</v>
      </c>
      <c r="B61" s="24">
        <f>F39</f>
        <v>6.1710791134618006</v>
      </c>
    </row>
    <row r="62" spans="1:10" x14ac:dyDescent="0.35">
      <c r="A62" s="120" t="s">
        <v>48</v>
      </c>
      <c r="B62" s="34">
        <f>SUM(B60:B61)</f>
        <v>12.684316453847213</v>
      </c>
    </row>
    <row r="64" spans="1:10" x14ac:dyDescent="0.35">
      <c r="A64" s="117" t="s">
        <v>390</v>
      </c>
      <c r="B64" s="118"/>
    </row>
    <row r="65" spans="1:10" x14ac:dyDescent="0.35">
      <c r="A65" s="116" t="s">
        <v>393</v>
      </c>
      <c r="B65" s="145">
        <f>J50</f>
        <v>6.5132373403854116</v>
      </c>
    </row>
    <row r="66" spans="1:10" x14ac:dyDescent="0.35">
      <c r="A66" s="42" t="s">
        <v>392</v>
      </c>
      <c r="B66" s="24">
        <f>F55</f>
        <v>3.9999999999999969</v>
      </c>
    </row>
    <row r="67" spans="1:10" x14ac:dyDescent="0.35">
      <c r="A67" s="120" t="s">
        <v>48</v>
      </c>
      <c r="B67" s="34">
        <f>SUM(B65:B66)</f>
        <v>10.513237340385409</v>
      </c>
    </row>
    <row r="69" spans="1:10" x14ac:dyDescent="0.35">
      <c r="A69" s="68" t="s">
        <v>422</v>
      </c>
      <c r="B69" s="67"/>
      <c r="C69" s="67"/>
      <c r="D69" s="67"/>
      <c r="E69" s="67"/>
      <c r="F69" s="67"/>
      <c r="G69" s="67"/>
      <c r="H69" s="67"/>
      <c r="I69" s="67"/>
      <c r="J69" s="67"/>
    </row>
    <row r="71" spans="1:10" x14ac:dyDescent="0.35">
      <c r="A71" s="117" t="s">
        <v>389</v>
      </c>
      <c r="B71" s="118"/>
    </row>
    <row r="72" spans="1:10" x14ac:dyDescent="0.35">
      <c r="A72" s="42" t="s">
        <v>405</v>
      </c>
      <c r="B72" s="24">
        <f>D27</f>
        <v>45.948764306069918</v>
      </c>
    </row>
    <row r="73" spans="1:10" x14ac:dyDescent="0.35">
      <c r="A73" s="116" t="s">
        <v>393</v>
      </c>
      <c r="B73" s="145">
        <f>0-J50</f>
        <v>-6.5132373403854116</v>
      </c>
    </row>
    <row r="74" spans="1:10" x14ac:dyDescent="0.35">
      <c r="A74" s="120" t="s">
        <v>48</v>
      </c>
      <c r="B74" s="34">
        <f>SUM(B72:B73)</f>
        <v>39.43552696568451</v>
      </c>
    </row>
    <row r="76" spans="1:10" x14ac:dyDescent="0.35">
      <c r="A76" s="133" t="s">
        <v>390</v>
      </c>
      <c r="B76" s="134"/>
    </row>
    <row r="77" spans="1:10" x14ac:dyDescent="0.35">
      <c r="A77" s="42" t="s">
        <v>405</v>
      </c>
      <c r="B77" s="24">
        <f>D27</f>
        <v>45.948764306069918</v>
      </c>
    </row>
    <row r="78" spans="1:10" x14ac:dyDescent="0.35">
      <c r="A78" s="42" t="s">
        <v>393</v>
      </c>
      <c r="B78" s="24">
        <f>0-J50</f>
        <v>-6.5132373403854116</v>
      </c>
    </row>
    <row r="79" spans="1:10" x14ac:dyDescent="0.35">
      <c r="A79" s="42" t="s">
        <v>406</v>
      </c>
      <c r="B79" s="24">
        <f>F54</f>
        <v>2.1710791134618037</v>
      </c>
    </row>
    <row r="80" spans="1:10" x14ac:dyDescent="0.35">
      <c r="A80" s="120" t="s">
        <v>48</v>
      </c>
      <c r="B80" s="34">
        <f>SUM(B77:B79)</f>
        <v>41.60660607914631</v>
      </c>
    </row>
    <row r="81" spans="1:2" s="40" customFormat="1" x14ac:dyDescent="0.35">
      <c r="A81" s="121"/>
      <c r="B81" s="122"/>
    </row>
    <row r="82" spans="1:2" s="40" customFormat="1" x14ac:dyDescent="0.35">
      <c r="A82" s="121"/>
      <c r="B82" s="122"/>
    </row>
    <row r="83" spans="1:2" s="40" customFormat="1" x14ac:dyDescent="0.35">
      <c r="A83" s="37" t="s">
        <v>96</v>
      </c>
      <c r="B83" s="122"/>
    </row>
    <row r="84" spans="1:2" s="40" customFormat="1" x14ac:dyDescent="0.35">
      <c r="A84" s="121"/>
      <c r="B84" s="122"/>
    </row>
    <row r="85" spans="1:2" x14ac:dyDescent="0.35">
      <c r="A85" s="2" t="s">
        <v>67</v>
      </c>
      <c r="B85" s="7"/>
    </row>
    <row r="86" spans="1:2" x14ac:dyDescent="0.35">
      <c r="A86" s="7" t="s">
        <v>116</v>
      </c>
      <c r="B86" s="7">
        <v>25</v>
      </c>
    </row>
    <row r="87" spans="1:2" x14ac:dyDescent="0.35">
      <c r="A87" s="7" t="s">
        <v>140</v>
      </c>
      <c r="B87" s="7">
        <v>20</v>
      </c>
    </row>
    <row r="89" spans="1:2" x14ac:dyDescent="0.35">
      <c r="A89" s="39" t="s">
        <v>115</v>
      </c>
      <c r="B89" s="40"/>
    </row>
  </sheetData>
  <conditionalFormatting sqref="C43:J43">
    <cfRule type="cellIs" dxfId="80" priority="7" operator="greaterThanOrEqual">
      <formula>1</formula>
    </cfRule>
    <cfRule type="cellIs" dxfId="79" priority="8" operator="between">
      <formula>0.5</formula>
      <formula>1</formula>
    </cfRule>
  </conditionalFormatting>
  <conditionalFormatting sqref="C44:J44">
    <cfRule type="cellIs" dxfId="78" priority="5" operator="between">
      <formula>2</formula>
      <formula>4</formula>
    </cfRule>
    <cfRule type="cellIs" dxfId="77" priority="6" operator="greaterThanOrEqual">
      <formula>4</formula>
    </cfRule>
  </conditionalFormatting>
  <conditionalFormatting sqref="C54:J54">
    <cfRule type="cellIs" dxfId="76" priority="4" operator="greaterThanOrEqual">
      <formula>$J$50</formula>
    </cfRule>
  </conditionalFormatting>
  <conditionalFormatting sqref="C55:J55">
    <cfRule type="cellIs" dxfId="75" priority="2" operator="between">
      <formula>2</formula>
      <formula>4</formula>
    </cfRule>
    <cfRule type="cellIs" dxfId="74" priority="3" operator="greaterThanOrEqual">
      <formula>4</formula>
    </cfRule>
  </conditionalFormatting>
  <conditionalFormatting sqref="C50:J50">
    <cfRule type="cellIs" dxfId="73" priority="1" operator="greaterThanOrEqual">
      <formula>0.5</formula>
    </cfRule>
  </conditionalFormatting>
  <dataValidations count="1">
    <dataValidation type="list" allowBlank="1" showInputMessage="1" showErrorMessage="1" sqref="F6 A6:A17">
      <formula1>Ingrédients_recettes</formula1>
    </dataValidation>
  </dataValidations>
  <pageMargins left="0.7" right="0.7" top="0.75" bottom="0.75" header="0.3" footer="0.3"/>
  <pageSetup paperSize="9" scale="59" orientation="portrait" horizontalDpi="4294967293" verticalDpi="4294967293"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0"/>
  <sheetViews>
    <sheetView topLeftCell="A15" workbookViewId="0">
      <selection activeCell="B12" sqref="B12"/>
    </sheetView>
  </sheetViews>
  <sheetFormatPr baseColWidth="10" defaultRowHeight="14.5" x14ac:dyDescent="0.35"/>
  <cols>
    <col min="1" max="1" width="34.1796875" customWidth="1"/>
    <col min="2" max="2" width="14.6328125" bestFit="1" customWidth="1"/>
    <col min="3" max="3" width="13.1796875" bestFit="1" customWidth="1"/>
    <col min="4" max="4" width="14.36328125" bestFit="1" customWidth="1"/>
    <col min="5" max="5" width="10.1796875" bestFit="1" customWidth="1"/>
    <col min="6" max="6" width="10" customWidth="1"/>
    <col min="7" max="7" width="9.81640625" customWidth="1"/>
  </cols>
  <sheetData>
    <row r="1" spans="1:8" x14ac:dyDescent="0.35">
      <c r="A1" s="103" t="s">
        <v>372</v>
      </c>
      <c r="B1" s="104"/>
      <c r="C1" s="104"/>
      <c r="D1" s="104"/>
      <c r="E1" s="104"/>
      <c r="F1" s="104"/>
      <c r="G1" s="104"/>
      <c r="H1" s="63"/>
    </row>
    <row r="2" spans="1:8" s="38" customFormat="1" x14ac:dyDescent="0.35">
      <c r="A2" s="73"/>
      <c r="B2" s="74"/>
      <c r="C2" s="74"/>
      <c r="D2" s="74"/>
      <c r="E2" s="74"/>
      <c r="F2" s="74"/>
      <c r="G2" s="74"/>
    </row>
    <row r="3" spans="1:8" s="38" customFormat="1" x14ac:dyDescent="0.35">
      <c r="A3" s="68" t="s">
        <v>276</v>
      </c>
      <c r="B3" s="75"/>
      <c r="C3" s="75"/>
      <c r="D3" s="75"/>
      <c r="E3" s="67"/>
      <c r="F3" s="67"/>
      <c r="G3" s="67"/>
      <c r="H3" s="67"/>
    </row>
    <row r="5" spans="1:8" x14ac:dyDescent="0.35">
      <c r="A5" s="2" t="s">
        <v>68</v>
      </c>
      <c r="B5" s="2" t="s">
        <v>41</v>
      </c>
      <c r="C5" s="2" t="s">
        <v>42</v>
      </c>
      <c r="D5" s="2" t="s">
        <v>40</v>
      </c>
    </row>
    <row r="6" spans="1:8" x14ac:dyDescent="0.35">
      <c r="A6" s="7" t="s">
        <v>373</v>
      </c>
      <c r="B6" s="7">
        <v>0.56200000000000006</v>
      </c>
      <c r="C6" s="31">
        <f t="shared" ref="C6:C17" si="0">IF(ISERROR(VLOOKUP(A6,Tableau_produits,6,FALSE)),0,VLOOKUP(A6,Tableau_produits,6,FALSE))</f>
        <v>31.957295373665477</v>
      </c>
      <c r="D6" s="32">
        <f>C6*B6</f>
        <v>17.96</v>
      </c>
    </row>
    <row r="7" spans="1:8" x14ac:dyDescent="0.35">
      <c r="A7" s="7" t="s">
        <v>374</v>
      </c>
      <c r="B7" s="6">
        <v>0.4</v>
      </c>
      <c r="C7" s="31">
        <f t="shared" si="0"/>
        <v>2.4018126888217521</v>
      </c>
      <c r="D7" s="32">
        <f>C7*B7</f>
        <v>0.9607250755287009</v>
      </c>
    </row>
    <row r="8" spans="1:8" x14ac:dyDescent="0.35">
      <c r="A8" s="7" t="s">
        <v>105</v>
      </c>
      <c r="B8" s="6">
        <v>0.441</v>
      </c>
      <c r="C8" s="31">
        <f t="shared" si="0"/>
        <v>3.1006493506493507</v>
      </c>
      <c r="D8" s="32">
        <f t="shared" ref="D8:D17" si="1">C8*B8</f>
        <v>1.3673863636363637</v>
      </c>
    </row>
    <row r="9" spans="1:8" x14ac:dyDescent="0.35">
      <c r="A9" s="7" t="s">
        <v>375</v>
      </c>
      <c r="B9" s="6">
        <v>0.15</v>
      </c>
      <c r="C9" s="31">
        <f t="shared" si="0"/>
        <v>4.0760869565217392</v>
      </c>
      <c r="D9" s="32">
        <f t="shared" si="1"/>
        <v>0.61141304347826086</v>
      </c>
    </row>
    <row r="10" spans="1:8" x14ac:dyDescent="0.35">
      <c r="A10" s="7" t="s">
        <v>108</v>
      </c>
      <c r="B10" s="10">
        <v>0.05</v>
      </c>
      <c r="C10" s="31">
        <f t="shared" si="0"/>
        <v>7.8533333333333326</v>
      </c>
      <c r="D10" s="32">
        <f t="shared" si="1"/>
        <v>0.39266666666666666</v>
      </c>
    </row>
    <row r="11" spans="1:8" x14ac:dyDescent="0.35">
      <c r="A11" s="7" t="s">
        <v>111</v>
      </c>
      <c r="B11" s="22">
        <v>0.1</v>
      </c>
      <c r="C11" s="31">
        <f t="shared" si="0"/>
        <v>4.9800000000000004</v>
      </c>
      <c r="D11" s="32">
        <f t="shared" si="1"/>
        <v>0.49800000000000005</v>
      </c>
    </row>
    <row r="12" spans="1:8" x14ac:dyDescent="0.35">
      <c r="A12" s="7" t="s">
        <v>136</v>
      </c>
      <c r="B12" s="21">
        <v>5.0000000000000001E-3</v>
      </c>
      <c r="C12" s="31">
        <f>IF(ISERROR(VLOOKUP(A12,Tableau_produits,6,FALSE)),0,VLOOKUP(A12,Tableau_produits,6,FALSE))</f>
        <v>94.199999999999989</v>
      </c>
      <c r="D12" s="33">
        <f>C12*B12</f>
        <v>0.47099999999999997</v>
      </c>
    </row>
    <row r="13" spans="1:8" x14ac:dyDescent="0.35">
      <c r="A13" s="7" t="s">
        <v>133</v>
      </c>
      <c r="B13" s="21">
        <f>0.003*6</f>
        <v>1.8000000000000002E-2</v>
      </c>
      <c r="C13" s="31">
        <f t="shared" si="0"/>
        <v>6.8</v>
      </c>
      <c r="D13" s="33">
        <f t="shared" si="1"/>
        <v>0.12240000000000001</v>
      </c>
    </row>
    <row r="14" spans="1:8" x14ac:dyDescent="0.35">
      <c r="A14" s="7" t="s">
        <v>156</v>
      </c>
      <c r="B14" s="21">
        <v>0.25</v>
      </c>
      <c r="C14" s="31">
        <f t="shared" si="0"/>
        <v>6.2499999999999991</v>
      </c>
      <c r="D14" s="33">
        <f t="shared" si="1"/>
        <v>1.5624999999999998</v>
      </c>
    </row>
    <row r="15" spans="1:8" x14ac:dyDescent="0.35">
      <c r="A15" s="7" t="s">
        <v>376</v>
      </c>
      <c r="B15" s="21">
        <v>1</v>
      </c>
      <c r="C15" s="31">
        <f t="shared" si="0"/>
        <v>0</v>
      </c>
      <c r="D15" s="33">
        <f t="shared" si="1"/>
        <v>0</v>
      </c>
    </row>
    <row r="16" spans="1:8" x14ac:dyDescent="0.35">
      <c r="A16" s="7" t="s">
        <v>111</v>
      </c>
      <c r="B16" s="21">
        <v>5.0000000000000001E-3</v>
      </c>
      <c r="C16" s="31">
        <f t="shared" si="0"/>
        <v>4.9800000000000004</v>
      </c>
      <c r="D16" s="33">
        <f t="shared" si="1"/>
        <v>2.4900000000000002E-2</v>
      </c>
    </row>
    <row r="17" spans="1:10" x14ac:dyDescent="0.35">
      <c r="A17" s="7" t="s">
        <v>136</v>
      </c>
      <c r="B17" s="21">
        <v>5.0000000000000001E-3</v>
      </c>
      <c r="C17" s="31">
        <f t="shared" si="0"/>
        <v>94.199999999999989</v>
      </c>
      <c r="D17" s="33">
        <f t="shared" si="1"/>
        <v>0.47099999999999997</v>
      </c>
    </row>
    <row r="18" spans="1:10" x14ac:dyDescent="0.35">
      <c r="A18" s="13" t="s">
        <v>48</v>
      </c>
      <c r="B18" s="13"/>
      <c r="C18" s="13"/>
      <c r="D18" s="34">
        <f>SUM(D6:D17)</f>
        <v>24.441991149309992</v>
      </c>
    </row>
    <row r="19" spans="1:10" x14ac:dyDescent="0.35">
      <c r="A19" s="34" t="str">
        <f>"Coût par portion ("&amp;ROUND(C22*1000,0)&amp;"g)"</f>
        <v>Coût par portion (0g)</v>
      </c>
      <c r="B19" s="13"/>
      <c r="C19" s="13"/>
      <c r="D19" s="34">
        <f>IF(E22=0,0,D18/E22)</f>
        <v>6.1104977873274979</v>
      </c>
    </row>
    <row r="21" spans="1:10" ht="43.5" x14ac:dyDescent="0.35">
      <c r="A21" s="2" t="s">
        <v>90</v>
      </c>
      <c r="B21" s="28" t="s">
        <v>91</v>
      </c>
      <c r="C21" s="28" t="s">
        <v>94</v>
      </c>
      <c r="D21" s="28" t="s">
        <v>92</v>
      </c>
      <c r="E21" s="28" t="s">
        <v>95</v>
      </c>
    </row>
    <row r="22" spans="1:10" x14ac:dyDescent="0.35">
      <c r="A22" s="7" t="s">
        <v>93</v>
      </c>
      <c r="B22" s="7"/>
      <c r="C22" s="7">
        <v>0</v>
      </c>
      <c r="D22" s="30">
        <v>4</v>
      </c>
      <c r="E22" s="35">
        <f>TRUNC(D22)</f>
        <v>4</v>
      </c>
    </row>
    <row r="23" spans="1:10" s="38" customFormat="1" x14ac:dyDescent="0.35">
      <c r="A23" s="60"/>
      <c r="B23" s="60"/>
      <c r="C23" s="60"/>
      <c r="D23" s="64"/>
      <c r="E23" s="60"/>
    </row>
    <row r="24" spans="1:10" s="38" customFormat="1" x14ac:dyDescent="0.35">
      <c r="A24" s="71" t="s">
        <v>277</v>
      </c>
      <c r="B24" s="69"/>
      <c r="C24" s="81"/>
      <c r="D24" s="70"/>
      <c r="E24" s="69"/>
      <c r="F24" s="67"/>
      <c r="G24" s="67"/>
      <c r="H24" s="67"/>
    </row>
    <row r="25" spans="1:10" s="38" customFormat="1" x14ac:dyDescent="0.35">
      <c r="A25" s="60"/>
      <c r="B25" s="60"/>
      <c r="C25" s="60"/>
      <c r="D25" s="64"/>
      <c r="E25" s="60"/>
    </row>
    <row r="26" spans="1:10" s="38" customFormat="1" x14ac:dyDescent="0.35">
      <c r="A26" s="16" t="s">
        <v>273</v>
      </c>
      <c r="B26" s="2" t="s">
        <v>267</v>
      </c>
      <c r="C26" s="2" t="s">
        <v>268</v>
      </c>
      <c r="D26" s="2" t="s">
        <v>269</v>
      </c>
      <c r="E26" s="60"/>
    </row>
    <row r="27" spans="1:10" s="38" customFormat="1" x14ac:dyDescent="0.35">
      <c r="A27" s="7" t="s">
        <v>278</v>
      </c>
      <c r="B27" s="78">
        <v>8</v>
      </c>
      <c r="C27" s="24">
        <f>D19</f>
        <v>6.1104977873274979</v>
      </c>
      <c r="D27" s="35">
        <f>C27*B27</f>
        <v>48.883982298619983</v>
      </c>
      <c r="E27" s="60"/>
    </row>
    <row r="28" spans="1:10" s="38" customFormat="1" x14ac:dyDescent="0.35">
      <c r="A28" s="7" t="s">
        <v>279</v>
      </c>
      <c r="B28" s="79">
        <v>4</v>
      </c>
      <c r="C28" s="24">
        <f>C27</f>
        <v>6.1104977873274979</v>
      </c>
      <c r="D28" s="35">
        <f>C28*B28</f>
        <v>24.441991149309992</v>
      </c>
      <c r="E28" s="60"/>
    </row>
    <row r="29" spans="1:10" s="38" customFormat="1" x14ac:dyDescent="0.35">
      <c r="A29" s="7" t="s">
        <v>280</v>
      </c>
      <c r="B29" s="72">
        <f>B27-B28</f>
        <v>4</v>
      </c>
      <c r="C29" s="66">
        <f>(D29/B29)*90%</f>
        <v>10.998896017189496</v>
      </c>
      <c r="D29" s="35">
        <f>D27</f>
        <v>48.883982298619983</v>
      </c>
      <c r="E29" s="60"/>
      <c r="F29" s="83"/>
    </row>
    <row r="31" spans="1:10" x14ac:dyDescent="0.35">
      <c r="A31" s="16" t="s">
        <v>275</v>
      </c>
      <c r="B31" s="50" t="s">
        <v>235</v>
      </c>
      <c r="C31" s="45">
        <v>1</v>
      </c>
      <c r="D31" s="45">
        <v>2</v>
      </c>
      <c r="E31" s="45">
        <v>3</v>
      </c>
      <c r="F31" s="45">
        <v>4</v>
      </c>
      <c r="G31" s="46">
        <v>5</v>
      </c>
      <c r="H31" s="46">
        <v>6</v>
      </c>
      <c r="I31" s="46">
        <v>7</v>
      </c>
      <c r="J31" s="46">
        <v>8</v>
      </c>
    </row>
    <row r="32" spans="1:10" x14ac:dyDescent="0.35">
      <c r="A32" s="17" t="s">
        <v>51</v>
      </c>
      <c r="B32" s="53"/>
      <c r="C32" s="24">
        <f>$C$29*C31</f>
        <v>10.998896017189496</v>
      </c>
      <c r="D32" s="24">
        <f t="shared" ref="D32:J32" si="2">$C$29*D31</f>
        <v>21.997792034378993</v>
      </c>
      <c r="E32" s="24">
        <f t="shared" si="2"/>
        <v>32.996688051568491</v>
      </c>
      <c r="F32" s="24">
        <f t="shared" si="2"/>
        <v>43.995584068757985</v>
      </c>
      <c r="G32" s="24">
        <f t="shared" si="2"/>
        <v>54.99448008594748</v>
      </c>
      <c r="H32" s="24">
        <f t="shared" si="2"/>
        <v>65.993376103136981</v>
      </c>
      <c r="I32" s="24">
        <f t="shared" si="2"/>
        <v>76.992272120326476</v>
      </c>
      <c r="J32" s="24">
        <f t="shared" si="2"/>
        <v>87.99116813751597</v>
      </c>
    </row>
    <row r="33" spans="1:10" x14ac:dyDescent="0.35">
      <c r="A33" s="16" t="s">
        <v>391</v>
      </c>
      <c r="B33" s="54">
        <v>1</v>
      </c>
      <c r="C33" s="24">
        <f>(($C$32+$B$33)+$C$54)*C31</f>
        <v>12.576338058091945</v>
      </c>
      <c r="D33" s="24">
        <f t="shared" ref="D33:J33" si="3">(($C$32+$B$33)+$C$54)*D31</f>
        <v>25.152676116183891</v>
      </c>
      <c r="E33" s="24">
        <f t="shared" si="3"/>
        <v>37.729014174275832</v>
      </c>
      <c r="F33" s="24">
        <f t="shared" si="3"/>
        <v>50.305352232367781</v>
      </c>
      <c r="G33" s="24">
        <f t="shared" si="3"/>
        <v>62.88169029045973</v>
      </c>
      <c r="H33" s="24">
        <f t="shared" si="3"/>
        <v>75.458028348551665</v>
      </c>
      <c r="I33" s="24">
        <f t="shared" si="3"/>
        <v>88.034366406643613</v>
      </c>
      <c r="J33" s="24">
        <f t="shared" si="3"/>
        <v>100.61070446473556</v>
      </c>
    </row>
    <row r="34" spans="1:10" x14ac:dyDescent="0.35">
      <c r="A34" s="55" t="s">
        <v>380</v>
      </c>
      <c r="B34" s="56"/>
      <c r="C34" s="34">
        <f>C33+(C33*5.5%)</f>
        <v>13.268036651287002</v>
      </c>
      <c r="D34" s="34">
        <f t="shared" ref="D34:J34" si="4">D33+(D33*5.5%)</f>
        <v>26.536073302574003</v>
      </c>
      <c r="E34" s="34">
        <f t="shared" si="4"/>
        <v>39.804109953861001</v>
      </c>
      <c r="F34" s="34">
        <f t="shared" si="4"/>
        <v>53.072146605148006</v>
      </c>
      <c r="G34" s="34">
        <f t="shared" si="4"/>
        <v>66.340183256435012</v>
      </c>
      <c r="H34" s="34">
        <f t="shared" si="4"/>
        <v>79.608219907722003</v>
      </c>
      <c r="I34" s="34">
        <f t="shared" si="4"/>
        <v>92.876256559009008</v>
      </c>
      <c r="J34" s="34">
        <f t="shared" si="4"/>
        <v>106.14429321029601</v>
      </c>
    </row>
    <row r="35" spans="1:10" s="38" customFormat="1" x14ac:dyDescent="0.35">
      <c r="A35" s="49" t="s">
        <v>233</v>
      </c>
      <c r="B35" s="15"/>
      <c r="C35" s="15"/>
      <c r="D35" s="15"/>
      <c r="E35" s="15"/>
      <c r="F35" s="15"/>
      <c r="G35" s="15"/>
    </row>
    <row r="36" spans="1:10" x14ac:dyDescent="0.35">
      <c r="A36" s="15"/>
      <c r="B36" s="14"/>
      <c r="C36" s="14"/>
      <c r="D36" s="14"/>
      <c r="E36" s="14"/>
    </row>
    <row r="37" spans="1:10" x14ac:dyDescent="0.35">
      <c r="A37" s="16" t="s">
        <v>49</v>
      </c>
      <c r="B37" s="56"/>
      <c r="C37" s="47">
        <v>1</v>
      </c>
      <c r="D37" s="47">
        <v>2</v>
      </c>
      <c r="E37" s="47">
        <v>3</v>
      </c>
      <c r="F37" s="47">
        <v>4</v>
      </c>
      <c r="G37" s="48">
        <v>5</v>
      </c>
      <c r="H37" s="48">
        <v>6</v>
      </c>
      <c r="I37" s="48">
        <v>7</v>
      </c>
      <c r="J37" s="48">
        <v>8</v>
      </c>
    </row>
    <row r="38" spans="1:10" x14ac:dyDescent="0.35">
      <c r="A38" s="17" t="s">
        <v>52</v>
      </c>
      <c r="B38" s="56"/>
      <c r="C38" s="24">
        <f>C32-($C$27*C37)</f>
        <v>4.8883982298619983</v>
      </c>
      <c r="D38" s="24">
        <f t="shared" ref="D38:H38" si="5">D32-($C$27*D37)</f>
        <v>9.7767964597239967</v>
      </c>
      <c r="E38" s="24">
        <f t="shared" si="5"/>
        <v>14.665194689585995</v>
      </c>
      <c r="F38" s="24">
        <f t="shared" si="5"/>
        <v>19.553592919447993</v>
      </c>
      <c r="G38" s="24">
        <f t="shared" si="5"/>
        <v>24.441991149309992</v>
      </c>
      <c r="H38" s="24">
        <f t="shared" si="5"/>
        <v>29.33038937917199</v>
      </c>
      <c r="I38" s="24">
        <f t="shared" ref="I38:J38" si="6">I32-($C$27*I37)</f>
        <v>34.218787609033988</v>
      </c>
      <c r="J38" s="24">
        <f t="shared" si="6"/>
        <v>39.107185838895987</v>
      </c>
    </row>
    <row r="39" spans="1:10" x14ac:dyDescent="0.35">
      <c r="A39" s="17" t="s">
        <v>53</v>
      </c>
      <c r="B39" s="56"/>
      <c r="C39" s="24">
        <f>C33-C32</f>
        <v>1.577442040902449</v>
      </c>
      <c r="D39" s="24">
        <f t="shared" ref="D39:H39" si="7">D33-D32</f>
        <v>3.154884081804898</v>
      </c>
      <c r="E39" s="24">
        <f t="shared" si="7"/>
        <v>4.7323261227073417</v>
      </c>
      <c r="F39" s="24">
        <f t="shared" si="7"/>
        <v>6.309768163609796</v>
      </c>
      <c r="G39" s="24">
        <f t="shared" si="7"/>
        <v>7.8872102045122503</v>
      </c>
      <c r="H39" s="24">
        <f t="shared" si="7"/>
        <v>9.4646522454146833</v>
      </c>
      <c r="I39" s="24">
        <f t="shared" ref="I39:J39" si="8">I33-I32</f>
        <v>11.042094286317138</v>
      </c>
      <c r="J39" s="24">
        <f t="shared" si="8"/>
        <v>12.619536327219592</v>
      </c>
    </row>
    <row r="40" spans="1:10" s="38" customFormat="1" x14ac:dyDescent="0.35">
      <c r="A40" s="49" t="s">
        <v>234</v>
      </c>
      <c r="B40" s="15"/>
      <c r="C40" s="15"/>
      <c r="D40" s="15"/>
      <c r="E40" s="15"/>
      <c r="F40" s="15"/>
    </row>
    <row r="42" spans="1:10" x14ac:dyDescent="0.35">
      <c r="A42" s="2" t="s">
        <v>236</v>
      </c>
      <c r="B42" s="56"/>
      <c r="C42" s="47">
        <v>1</v>
      </c>
      <c r="D42" s="47">
        <v>2</v>
      </c>
      <c r="E42" s="47">
        <v>3</v>
      </c>
      <c r="F42" s="47">
        <v>4</v>
      </c>
      <c r="G42" s="48">
        <v>5</v>
      </c>
      <c r="H42" s="48">
        <v>6</v>
      </c>
      <c r="I42" s="48">
        <v>7</v>
      </c>
      <c r="J42" s="48">
        <v>8</v>
      </c>
    </row>
    <row r="43" spans="1:10" x14ac:dyDescent="0.35">
      <c r="A43" s="7" t="s">
        <v>238</v>
      </c>
      <c r="B43" s="56"/>
      <c r="C43" s="59">
        <f>IF($D$27=0,0,(C32)/$D$27)</f>
        <v>0.22500000000000001</v>
      </c>
      <c r="D43" s="59">
        <f t="shared" ref="D43:H43" si="9">IF($D$27=0,0,(D32)/$D$27)</f>
        <v>0.45</v>
      </c>
      <c r="E43" s="59">
        <f t="shared" si="9"/>
        <v>0.67500000000000004</v>
      </c>
      <c r="F43" s="59">
        <f t="shared" si="9"/>
        <v>0.9</v>
      </c>
      <c r="G43" s="59">
        <f t="shared" si="9"/>
        <v>1.125</v>
      </c>
      <c r="H43" s="59">
        <f t="shared" si="9"/>
        <v>1.35</v>
      </c>
      <c r="I43" s="59">
        <f t="shared" ref="I43:J43" si="10">IF($D$27=0,0,(I32)/$D$27)</f>
        <v>1.575</v>
      </c>
      <c r="J43" s="59">
        <f t="shared" si="10"/>
        <v>1.8</v>
      </c>
    </row>
    <row r="44" spans="1:10" x14ac:dyDescent="0.35">
      <c r="A44" s="7" t="s">
        <v>237</v>
      </c>
      <c r="B44" s="56"/>
      <c r="C44" s="24">
        <f>C39</f>
        <v>1.577442040902449</v>
      </c>
      <c r="D44" s="24">
        <f t="shared" ref="D44:H44" si="11">D39</f>
        <v>3.154884081804898</v>
      </c>
      <c r="E44" s="24">
        <f t="shared" si="11"/>
        <v>4.7323261227073417</v>
      </c>
      <c r="F44" s="24">
        <f t="shared" si="11"/>
        <v>6.309768163609796</v>
      </c>
      <c r="G44" s="24">
        <f t="shared" si="11"/>
        <v>7.8872102045122503</v>
      </c>
      <c r="H44" s="24">
        <f t="shared" si="11"/>
        <v>9.4646522454146833</v>
      </c>
      <c r="I44" s="24">
        <f t="shared" ref="I44:J44" si="12">I39</f>
        <v>11.042094286317138</v>
      </c>
      <c r="J44" s="24">
        <f t="shared" si="12"/>
        <v>12.619536327219592</v>
      </c>
    </row>
    <row r="46" spans="1:10" s="60" customFormat="1" x14ac:dyDescent="0.35">
      <c r="A46" s="71" t="s">
        <v>384</v>
      </c>
      <c r="B46" s="76"/>
      <c r="C46" s="111"/>
      <c r="D46" s="111"/>
      <c r="E46" s="111"/>
      <c r="F46" s="111"/>
      <c r="G46" s="111"/>
      <c r="H46" s="111"/>
      <c r="I46" s="111"/>
      <c r="J46" s="111"/>
    </row>
    <row r="47" spans="1:10" s="60" customFormat="1" x14ac:dyDescent="0.35">
      <c r="B47" s="57"/>
      <c r="C47" s="15"/>
      <c r="D47" s="15"/>
      <c r="E47" s="15"/>
      <c r="F47" s="15"/>
      <c r="G47" s="15"/>
      <c r="H47" s="15"/>
      <c r="I47" s="15"/>
      <c r="J47" s="15"/>
    </row>
    <row r="48" spans="1:10" s="60" customFormat="1" ht="43.5" x14ac:dyDescent="0.35">
      <c r="A48" s="109" t="s">
        <v>385</v>
      </c>
      <c r="B48" s="112">
        <v>0.15</v>
      </c>
      <c r="C48" s="48">
        <v>1</v>
      </c>
      <c r="D48" s="48">
        <v>2</v>
      </c>
      <c r="E48" s="48">
        <v>3</v>
      </c>
      <c r="F48" s="48">
        <v>4</v>
      </c>
      <c r="G48" s="48">
        <v>5</v>
      </c>
      <c r="H48" s="48">
        <v>6</v>
      </c>
      <c r="I48" s="48">
        <v>7</v>
      </c>
      <c r="J48" s="48">
        <v>8</v>
      </c>
    </row>
    <row r="49" spans="1:10" s="60" customFormat="1" x14ac:dyDescent="0.35">
      <c r="A49" s="11" t="s">
        <v>382</v>
      </c>
      <c r="B49" s="110"/>
      <c r="C49" s="24">
        <f>($C$27-$C$27*5.5%)*C48</f>
        <v>5.7744204090244855</v>
      </c>
      <c r="D49" s="24">
        <f t="shared" ref="D49:J49" si="13">($C$27-$C$27*5.5%)*D48</f>
        <v>11.548840818048971</v>
      </c>
      <c r="E49" s="24">
        <f t="shared" si="13"/>
        <v>17.323261227073456</v>
      </c>
      <c r="F49" s="24">
        <f t="shared" si="13"/>
        <v>23.097681636097942</v>
      </c>
      <c r="G49" s="24">
        <f t="shared" si="13"/>
        <v>28.872102045122428</v>
      </c>
      <c r="H49" s="24">
        <f t="shared" si="13"/>
        <v>34.646522454146911</v>
      </c>
      <c r="I49" s="24">
        <f t="shared" si="13"/>
        <v>40.420942863171398</v>
      </c>
      <c r="J49" s="24">
        <f t="shared" si="13"/>
        <v>46.195363272195884</v>
      </c>
    </row>
    <row r="50" spans="1:10" s="60" customFormat="1" x14ac:dyDescent="0.35">
      <c r="A50" s="11" t="s">
        <v>281</v>
      </c>
      <c r="B50" s="16"/>
      <c r="C50" s="115">
        <f>C49*$B$48</f>
        <v>0.86616306135367283</v>
      </c>
      <c r="D50" s="115">
        <f t="shared" ref="D50:J50" si="14">D49*$B$48</f>
        <v>1.7323261227073457</v>
      </c>
      <c r="E50" s="115">
        <f t="shared" si="14"/>
        <v>2.5984891840610183</v>
      </c>
      <c r="F50" s="115">
        <f t="shared" si="14"/>
        <v>3.4646522454146913</v>
      </c>
      <c r="G50" s="115">
        <f t="shared" si="14"/>
        <v>4.3308153067683639</v>
      </c>
      <c r="H50" s="115">
        <f t="shared" si="14"/>
        <v>5.1969783681220365</v>
      </c>
      <c r="I50" s="115">
        <f t="shared" si="14"/>
        <v>6.0631414294757091</v>
      </c>
      <c r="J50" s="115">
        <f t="shared" si="14"/>
        <v>6.9293044908293826</v>
      </c>
    </row>
    <row r="51" spans="1:10" s="60" customFormat="1" x14ac:dyDescent="0.35">
      <c r="B51" s="57"/>
      <c r="C51" s="114"/>
      <c r="D51" s="114"/>
      <c r="E51" s="114"/>
      <c r="F51" s="114"/>
      <c r="G51" s="114"/>
      <c r="H51" s="114"/>
      <c r="I51" s="114"/>
      <c r="J51" s="114"/>
    </row>
    <row r="52" spans="1:10" s="60" customFormat="1" ht="43.5" x14ac:dyDescent="0.35">
      <c r="A52" s="109" t="s">
        <v>394</v>
      </c>
      <c r="B52" s="112">
        <v>0.1</v>
      </c>
      <c r="C52" s="48">
        <v>1</v>
      </c>
      <c r="D52" s="48">
        <v>2</v>
      </c>
      <c r="E52" s="48">
        <v>3</v>
      </c>
      <c r="F52" s="48">
        <v>4</v>
      </c>
      <c r="G52" s="48">
        <v>5</v>
      </c>
      <c r="H52" s="48">
        <v>6</v>
      </c>
      <c r="I52" s="48">
        <v>7</v>
      </c>
      <c r="J52" s="48">
        <v>8</v>
      </c>
    </row>
    <row r="53" spans="1:10" s="60" customFormat="1" x14ac:dyDescent="0.35">
      <c r="A53" s="11" t="s">
        <v>382</v>
      </c>
      <c r="B53" s="16"/>
      <c r="C53" s="24">
        <f>($C$27-$C$27*5.5%)*C52</f>
        <v>5.7744204090244855</v>
      </c>
      <c r="D53" s="24">
        <f t="shared" ref="D53:J53" si="15">($C$27-$C$27*5.5%)*D52</f>
        <v>11.548840818048971</v>
      </c>
      <c r="E53" s="24">
        <f t="shared" si="15"/>
        <v>17.323261227073456</v>
      </c>
      <c r="F53" s="24">
        <f t="shared" si="15"/>
        <v>23.097681636097942</v>
      </c>
      <c r="G53" s="24">
        <f t="shared" si="15"/>
        <v>28.872102045122428</v>
      </c>
      <c r="H53" s="24">
        <f t="shared" si="15"/>
        <v>34.646522454146911</v>
      </c>
      <c r="I53" s="24">
        <f t="shared" si="15"/>
        <v>40.420942863171398</v>
      </c>
      <c r="J53" s="24">
        <f t="shared" si="15"/>
        <v>46.195363272195884</v>
      </c>
    </row>
    <row r="54" spans="1:10" s="60" customFormat="1" x14ac:dyDescent="0.35">
      <c r="A54" s="11" t="s">
        <v>386</v>
      </c>
      <c r="B54" s="16"/>
      <c r="C54" s="113">
        <f>C53*$B$52</f>
        <v>0.57744204090244855</v>
      </c>
      <c r="D54" s="113">
        <f t="shared" ref="D54:J54" si="16">D53*$B$52</f>
        <v>1.1548840818048971</v>
      </c>
      <c r="E54" s="113">
        <f t="shared" si="16"/>
        <v>1.7323261227073457</v>
      </c>
      <c r="F54" s="113">
        <f t="shared" si="16"/>
        <v>2.3097681636097942</v>
      </c>
      <c r="G54" s="113">
        <f t="shared" si="16"/>
        <v>2.8872102045122432</v>
      </c>
      <c r="H54" s="113">
        <f t="shared" si="16"/>
        <v>3.4646522454146913</v>
      </c>
      <c r="I54" s="113">
        <f t="shared" si="16"/>
        <v>4.0420942863171403</v>
      </c>
      <c r="J54" s="113">
        <f t="shared" si="16"/>
        <v>4.6195363272195884</v>
      </c>
    </row>
    <row r="55" spans="1:10" s="60" customFormat="1" x14ac:dyDescent="0.35">
      <c r="A55" s="11" t="s">
        <v>387</v>
      </c>
      <c r="B55" s="16"/>
      <c r="C55" s="113">
        <f>C44-C54</f>
        <v>1.0000000000000004</v>
      </c>
      <c r="D55" s="113">
        <f t="shared" ref="D55:J55" si="17">D44-D54</f>
        <v>2.0000000000000009</v>
      </c>
      <c r="E55" s="113">
        <f t="shared" si="17"/>
        <v>2.999999999999996</v>
      </c>
      <c r="F55" s="113">
        <f t="shared" si="17"/>
        <v>4.0000000000000018</v>
      </c>
      <c r="G55" s="113">
        <f t="shared" si="17"/>
        <v>5.0000000000000071</v>
      </c>
      <c r="H55" s="113">
        <f t="shared" si="17"/>
        <v>5.999999999999992</v>
      </c>
      <c r="I55" s="113">
        <f t="shared" si="17"/>
        <v>6.9999999999999973</v>
      </c>
      <c r="J55" s="113">
        <f t="shared" si="17"/>
        <v>8.0000000000000036</v>
      </c>
    </row>
    <row r="57" spans="1:10" x14ac:dyDescent="0.35">
      <c r="A57" s="68" t="s">
        <v>416</v>
      </c>
      <c r="B57" s="67"/>
      <c r="C57" s="67"/>
      <c r="D57" s="67"/>
      <c r="E57" s="67"/>
      <c r="F57" s="67"/>
      <c r="G57" s="67"/>
      <c r="H57" s="67"/>
      <c r="I57" s="67"/>
      <c r="J57" s="67"/>
    </row>
    <row r="59" spans="1:10" x14ac:dyDescent="0.35">
      <c r="A59" s="117" t="s">
        <v>389</v>
      </c>
      <c r="B59" s="118"/>
    </row>
    <row r="60" spans="1:10" x14ac:dyDescent="0.35">
      <c r="A60" s="116" t="s">
        <v>393</v>
      </c>
      <c r="B60" s="119">
        <f>J50</f>
        <v>6.9293044908293826</v>
      </c>
    </row>
    <row r="61" spans="1:10" x14ac:dyDescent="0.35">
      <c r="A61" s="42" t="s">
        <v>392</v>
      </c>
      <c r="B61" s="91">
        <f>F44</f>
        <v>6.309768163609796</v>
      </c>
    </row>
    <row r="62" spans="1:10" x14ac:dyDescent="0.35">
      <c r="A62" s="120" t="s">
        <v>48</v>
      </c>
      <c r="B62" s="13">
        <f>SUM(B60:B61)</f>
        <v>13.239072654439179</v>
      </c>
    </row>
    <row r="64" spans="1:10" x14ac:dyDescent="0.35">
      <c r="A64" s="117" t="s">
        <v>390</v>
      </c>
      <c r="B64" s="118"/>
    </row>
    <row r="65" spans="1:10" x14ac:dyDescent="0.35">
      <c r="A65" s="116" t="s">
        <v>393</v>
      </c>
      <c r="B65" s="119">
        <f>J50</f>
        <v>6.9293044908293826</v>
      </c>
    </row>
    <row r="66" spans="1:10" x14ac:dyDescent="0.35">
      <c r="A66" s="42" t="s">
        <v>392</v>
      </c>
      <c r="B66" s="91">
        <f>F55</f>
        <v>4.0000000000000018</v>
      </c>
    </row>
    <row r="67" spans="1:10" x14ac:dyDescent="0.35">
      <c r="A67" s="120" t="s">
        <v>48</v>
      </c>
      <c r="B67" s="13">
        <f>SUM(B65:B66)</f>
        <v>10.929304490829384</v>
      </c>
    </row>
    <row r="69" spans="1:10" x14ac:dyDescent="0.35">
      <c r="A69" s="68" t="s">
        <v>422</v>
      </c>
      <c r="B69" s="67"/>
      <c r="C69" s="67"/>
      <c r="D69" s="67"/>
      <c r="E69" s="67"/>
      <c r="F69" s="67"/>
      <c r="G69" s="67"/>
      <c r="H69" s="67"/>
      <c r="I69" s="67"/>
      <c r="J69" s="67"/>
    </row>
    <row r="71" spans="1:10" x14ac:dyDescent="0.35">
      <c r="A71" s="117" t="s">
        <v>389</v>
      </c>
      <c r="B71" s="118"/>
    </row>
    <row r="72" spans="1:10" x14ac:dyDescent="0.35">
      <c r="A72" s="42" t="s">
        <v>405</v>
      </c>
      <c r="B72" s="91">
        <f>D27</f>
        <v>48.883982298619983</v>
      </c>
    </row>
    <row r="73" spans="1:10" x14ac:dyDescent="0.35">
      <c r="A73" s="116" t="s">
        <v>393</v>
      </c>
      <c r="B73" s="119">
        <f>0-J50</f>
        <v>-6.9293044908293826</v>
      </c>
    </row>
    <row r="74" spans="1:10" x14ac:dyDescent="0.35">
      <c r="A74" s="120" t="s">
        <v>48</v>
      </c>
      <c r="B74" s="13">
        <f>SUM(B72:B73)</f>
        <v>41.954677807790603</v>
      </c>
    </row>
    <row r="76" spans="1:10" x14ac:dyDescent="0.35">
      <c r="A76" s="133" t="s">
        <v>390</v>
      </c>
      <c r="B76" s="134"/>
    </row>
    <row r="77" spans="1:10" x14ac:dyDescent="0.35">
      <c r="A77" s="42" t="s">
        <v>405</v>
      </c>
      <c r="B77" s="91">
        <f>D27</f>
        <v>48.883982298619983</v>
      </c>
    </row>
    <row r="78" spans="1:10" x14ac:dyDescent="0.35">
      <c r="A78" s="42" t="s">
        <v>393</v>
      </c>
      <c r="B78" s="91">
        <f>0-J50</f>
        <v>-6.9293044908293826</v>
      </c>
    </row>
    <row r="79" spans="1:10" x14ac:dyDescent="0.35">
      <c r="A79" s="42" t="s">
        <v>406</v>
      </c>
      <c r="B79" s="91">
        <f>F54</f>
        <v>2.3097681636097942</v>
      </c>
    </row>
    <row r="80" spans="1:10" x14ac:dyDescent="0.35">
      <c r="A80" s="120" t="s">
        <v>48</v>
      </c>
      <c r="B80" s="13">
        <f>SUM(B77:B79)</f>
        <v>44.264445971400399</v>
      </c>
    </row>
    <row r="83" spans="1:2" x14ac:dyDescent="0.35">
      <c r="A83" s="37" t="s">
        <v>96</v>
      </c>
      <c r="B83" s="38"/>
    </row>
    <row r="86" spans="1:2" x14ac:dyDescent="0.35">
      <c r="A86" s="2" t="s">
        <v>67</v>
      </c>
      <c r="B86" s="7"/>
    </row>
    <row r="87" spans="1:2" x14ac:dyDescent="0.35">
      <c r="A87" s="7" t="s">
        <v>116</v>
      </c>
      <c r="B87" s="7"/>
    </row>
    <row r="88" spans="1:2" x14ac:dyDescent="0.35">
      <c r="A88" s="7" t="s">
        <v>140</v>
      </c>
      <c r="B88" s="7"/>
    </row>
    <row r="90" spans="1:2" x14ac:dyDescent="0.35">
      <c r="A90" s="39" t="s">
        <v>115</v>
      </c>
      <c r="B90" s="40"/>
    </row>
  </sheetData>
  <conditionalFormatting sqref="C43:J43">
    <cfRule type="cellIs" dxfId="72" priority="8" operator="greaterThanOrEqual">
      <formula>1</formula>
    </cfRule>
    <cfRule type="cellIs" dxfId="71" priority="9" operator="between">
      <formula>0.5</formula>
      <formula>1</formula>
    </cfRule>
  </conditionalFormatting>
  <conditionalFormatting sqref="C44:J44">
    <cfRule type="cellIs" dxfId="70" priority="6" operator="greaterThanOrEqual">
      <formula>4</formula>
    </cfRule>
    <cfRule type="cellIs" dxfId="69" priority="7" operator="greaterThanOrEqual">
      <formula>2</formula>
    </cfRule>
  </conditionalFormatting>
  <conditionalFormatting sqref="C54:J54">
    <cfRule type="cellIs" dxfId="68" priority="1" operator="greaterThanOrEqual">
      <formula>$J$50</formula>
    </cfRule>
  </conditionalFormatting>
  <conditionalFormatting sqref="C55:J55">
    <cfRule type="cellIs" dxfId="67" priority="3" operator="between">
      <formula>2</formula>
      <formula>4</formula>
    </cfRule>
    <cfRule type="cellIs" dxfId="66" priority="4" operator="greaterThanOrEqual">
      <formula>4</formula>
    </cfRule>
  </conditionalFormatting>
  <conditionalFormatting sqref="C50:J50">
    <cfRule type="cellIs" dxfId="65" priority="2" operator="greaterThanOrEqual">
      <formula>0.5</formula>
    </cfRule>
  </conditionalFormatting>
  <dataValidations count="1">
    <dataValidation type="list" allowBlank="1" showInputMessage="1" showErrorMessage="1" sqref="F6 A6:A17">
      <formula1>Ingrédients_recettes</formula1>
    </dataValidation>
  </dataValidations>
  <pageMargins left="0.7" right="0.7" top="0.75" bottom="0.75" header="0.3" footer="0.3"/>
  <pageSetup paperSize="9" orientation="portrait" horizontalDpi="4294967293" verticalDpi="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95"/>
  <sheetViews>
    <sheetView workbookViewId="0">
      <selection activeCell="B15" sqref="B15:B16"/>
    </sheetView>
  </sheetViews>
  <sheetFormatPr baseColWidth="10" defaultRowHeight="14.5" x14ac:dyDescent="0.35"/>
  <cols>
    <col min="1" max="1" width="34.1796875" customWidth="1"/>
    <col min="2" max="2" width="14.6328125" bestFit="1" customWidth="1"/>
    <col min="3" max="3" width="13.1796875" bestFit="1" customWidth="1"/>
    <col min="4" max="4" width="14.36328125" bestFit="1" customWidth="1"/>
    <col min="5" max="5" width="10.1796875" bestFit="1" customWidth="1"/>
    <col min="6" max="6" width="12" customWidth="1"/>
    <col min="7" max="7" width="9.81640625" customWidth="1"/>
    <col min="8" max="8" width="10.90625" customWidth="1"/>
  </cols>
  <sheetData>
    <row r="1" spans="1:9" x14ac:dyDescent="0.35">
      <c r="A1" s="103" t="s">
        <v>586</v>
      </c>
      <c r="B1" s="104"/>
      <c r="C1" s="104"/>
      <c r="D1" s="104"/>
      <c r="E1" s="104"/>
      <c r="F1" s="104"/>
      <c r="G1" s="104"/>
      <c r="H1" s="63"/>
    </row>
    <row r="2" spans="1:9" s="38" customFormat="1" x14ac:dyDescent="0.35">
      <c r="A2" s="73"/>
      <c r="B2" s="74"/>
      <c r="C2" s="74"/>
      <c r="D2" s="74"/>
      <c r="E2" s="74"/>
      <c r="F2" s="74"/>
      <c r="G2" s="74"/>
    </row>
    <row r="3" spans="1:9" s="38" customFormat="1" x14ac:dyDescent="0.35">
      <c r="A3" s="68" t="s">
        <v>276</v>
      </c>
      <c r="B3" s="75"/>
      <c r="C3" s="75"/>
      <c r="D3" s="75"/>
      <c r="E3" s="75"/>
      <c r="F3" s="75"/>
      <c r="G3" s="75"/>
      <c r="H3" s="67"/>
    </row>
    <row r="5" spans="1:9" x14ac:dyDescent="0.35">
      <c r="A5" s="2" t="s">
        <v>68</v>
      </c>
      <c r="B5" s="2" t="s">
        <v>41</v>
      </c>
      <c r="C5" s="2" t="s">
        <v>42</v>
      </c>
      <c r="D5" s="2" t="s">
        <v>40</v>
      </c>
    </row>
    <row r="6" spans="1:9" x14ac:dyDescent="0.35">
      <c r="A6" s="7" t="s">
        <v>373</v>
      </c>
      <c r="B6" s="4">
        <v>0.55400000000000005</v>
      </c>
      <c r="C6" s="31">
        <f t="shared" ref="C6:C16" si="0">IF(ISERROR(VLOOKUP(A6,Tableau_produits,6,FALSE)),0,VLOOKUP(A6,Tableau_produits,6,FALSE))</f>
        <v>31.957295373665477</v>
      </c>
      <c r="D6" s="32">
        <f>C6*B6</f>
        <v>17.704341637010675</v>
      </c>
      <c r="E6" s="88"/>
      <c r="I6" s="89"/>
    </row>
    <row r="7" spans="1:9" x14ac:dyDescent="0.35">
      <c r="A7" s="7" t="s">
        <v>137</v>
      </c>
      <c r="B7" s="4">
        <v>0.04</v>
      </c>
      <c r="C7" s="31">
        <f t="shared" si="0"/>
        <v>5.3166666666666655</v>
      </c>
      <c r="D7" s="32">
        <f>C7*B7</f>
        <v>0.21266666666666662</v>
      </c>
      <c r="I7" s="89"/>
    </row>
    <row r="8" spans="1:9" x14ac:dyDescent="0.35">
      <c r="A8" s="7" t="s">
        <v>583</v>
      </c>
      <c r="B8" s="4">
        <v>1</v>
      </c>
      <c r="C8" s="31">
        <f t="shared" si="0"/>
        <v>0.37</v>
      </c>
      <c r="D8" s="32">
        <f t="shared" ref="D8:D16" si="1">C8*B8</f>
        <v>0.37</v>
      </c>
      <c r="I8" s="89"/>
    </row>
    <row r="9" spans="1:9" x14ac:dyDescent="0.35">
      <c r="A9" s="7" t="s">
        <v>295</v>
      </c>
      <c r="B9" s="86">
        <f>0.0005*3</f>
        <v>1.5E-3</v>
      </c>
      <c r="C9" s="31">
        <f t="shared" si="0"/>
        <v>79.142857142857139</v>
      </c>
      <c r="D9" s="32">
        <f t="shared" si="1"/>
        <v>0.11871428571428572</v>
      </c>
      <c r="I9" s="89"/>
    </row>
    <row r="10" spans="1:9" x14ac:dyDescent="0.35">
      <c r="A10" s="7" t="s">
        <v>584</v>
      </c>
      <c r="B10" s="86">
        <v>5.0000000000000001E-4</v>
      </c>
      <c r="C10" s="31">
        <f t="shared" si="0"/>
        <v>169.44444444444446</v>
      </c>
      <c r="D10" s="32">
        <f t="shared" si="1"/>
        <v>8.4722222222222227E-2</v>
      </c>
      <c r="I10" s="40"/>
    </row>
    <row r="11" spans="1:9" x14ac:dyDescent="0.35">
      <c r="A11" s="7" t="s">
        <v>585</v>
      </c>
      <c r="B11" s="86">
        <f>0.01*3</f>
        <v>0.03</v>
      </c>
      <c r="C11" s="31">
        <f t="shared" si="0"/>
        <v>7.5</v>
      </c>
      <c r="D11" s="32">
        <f t="shared" si="1"/>
        <v>0.22499999999999998</v>
      </c>
    </row>
    <row r="12" spans="1:9" x14ac:dyDescent="0.35">
      <c r="A12" s="7" t="s">
        <v>494</v>
      </c>
      <c r="B12" s="10">
        <f>0.015*4</f>
        <v>0.06</v>
      </c>
      <c r="C12" s="31">
        <f t="shared" si="0"/>
        <v>7.9861111111111107</v>
      </c>
      <c r="D12" s="33">
        <f t="shared" si="1"/>
        <v>0.47916666666666663</v>
      </c>
    </row>
    <row r="13" spans="1:9" x14ac:dyDescent="0.35">
      <c r="A13" s="7" t="s">
        <v>449</v>
      </c>
      <c r="B13" s="10">
        <v>0.02</v>
      </c>
      <c r="C13" s="31">
        <f t="shared" si="0"/>
        <v>6.6000000000000005</v>
      </c>
      <c r="D13" s="33">
        <f t="shared" si="1"/>
        <v>0.13200000000000001</v>
      </c>
    </row>
    <row r="14" spans="1:9" x14ac:dyDescent="0.35">
      <c r="A14" s="7" t="s">
        <v>567</v>
      </c>
      <c r="B14" s="10">
        <f>0.07*3</f>
        <v>0.21000000000000002</v>
      </c>
      <c r="C14" s="31">
        <f t="shared" si="0"/>
        <v>5</v>
      </c>
      <c r="D14" s="33">
        <f t="shared" si="1"/>
        <v>1.05</v>
      </c>
    </row>
    <row r="15" spans="1:9" x14ac:dyDescent="0.35">
      <c r="A15" s="7" t="s">
        <v>111</v>
      </c>
      <c r="B15" s="10">
        <f>0.001</f>
        <v>1E-3</v>
      </c>
      <c r="C15" s="31">
        <f t="shared" ref="C15" si="2">IF(ISERROR(VLOOKUP(A15,Tableau_produits,6,FALSE)),0,VLOOKUP(A15,Tableau_produits,6,FALSE))</f>
        <v>4.9800000000000004</v>
      </c>
      <c r="D15" s="33">
        <f t="shared" ref="D15" si="3">C15*B15</f>
        <v>4.9800000000000009E-3</v>
      </c>
    </row>
    <row r="16" spans="1:9" x14ac:dyDescent="0.35">
      <c r="A16" s="7" t="s">
        <v>136</v>
      </c>
      <c r="B16" s="10">
        <f>0.0005</f>
        <v>5.0000000000000001E-4</v>
      </c>
      <c r="C16" s="31">
        <f t="shared" si="0"/>
        <v>94.199999999999989</v>
      </c>
      <c r="D16" s="33">
        <f t="shared" si="1"/>
        <v>4.7099999999999996E-2</v>
      </c>
    </row>
    <row r="17" spans="1:10" x14ac:dyDescent="0.35">
      <c r="A17" s="13" t="s">
        <v>48</v>
      </c>
      <c r="B17" s="13"/>
      <c r="C17" s="13"/>
      <c r="D17" s="34">
        <f>SUM(D6:D16)</f>
        <v>20.428691478280523</v>
      </c>
    </row>
    <row r="18" spans="1:10" x14ac:dyDescent="0.35">
      <c r="A18" s="34" t="str">
        <f>"Coût par portion ("&amp;ROUND(C21*1000,0)&amp;"g)"</f>
        <v>Coût par portion (0g)</v>
      </c>
      <c r="B18" s="13"/>
      <c r="C18" s="13"/>
      <c r="D18" s="34">
        <f>IF(E21=0,0,D17/E21)</f>
        <v>6.8095638260935081</v>
      </c>
    </row>
    <row r="20" spans="1:10" ht="43.5" x14ac:dyDescent="0.35">
      <c r="A20" s="2" t="s">
        <v>90</v>
      </c>
      <c r="B20" s="28" t="s">
        <v>91</v>
      </c>
      <c r="C20" s="28" t="s">
        <v>94</v>
      </c>
      <c r="D20" s="28" t="s">
        <v>92</v>
      </c>
      <c r="E20" s="28" t="s">
        <v>95</v>
      </c>
    </row>
    <row r="21" spans="1:10" x14ac:dyDescent="0.35">
      <c r="A21" s="7" t="s">
        <v>93</v>
      </c>
      <c r="B21" s="7"/>
      <c r="C21" s="7">
        <v>0</v>
      </c>
      <c r="D21" s="30">
        <v>3</v>
      </c>
      <c r="E21" s="35">
        <f>TRUNC(D21)</f>
        <v>3</v>
      </c>
    </row>
    <row r="22" spans="1:10" s="38" customFormat="1" x14ac:dyDescent="0.35">
      <c r="A22" s="60"/>
      <c r="B22" s="60"/>
      <c r="C22" s="60"/>
      <c r="D22" s="64"/>
      <c r="E22" s="60"/>
    </row>
    <row r="23" spans="1:10" s="38" customFormat="1" x14ac:dyDescent="0.35">
      <c r="A23" s="71" t="s">
        <v>277</v>
      </c>
      <c r="B23" s="69"/>
      <c r="C23" s="69"/>
      <c r="D23" s="70"/>
      <c r="E23" s="69"/>
      <c r="F23" s="67"/>
      <c r="G23" s="67"/>
      <c r="H23" s="67"/>
    </row>
    <row r="24" spans="1:10" s="38" customFormat="1" x14ac:dyDescent="0.35">
      <c r="A24" s="60"/>
      <c r="B24" s="60"/>
      <c r="C24" s="60"/>
      <c r="D24" s="64"/>
      <c r="E24" s="60"/>
    </row>
    <row r="25" spans="1:10" s="38" customFormat="1" x14ac:dyDescent="0.35">
      <c r="A25" s="16" t="s">
        <v>274</v>
      </c>
      <c r="B25" s="2" t="s">
        <v>267</v>
      </c>
      <c r="C25" s="2" t="s">
        <v>268</v>
      </c>
      <c r="D25" s="2" t="s">
        <v>269</v>
      </c>
      <c r="E25"/>
    </row>
    <row r="26" spans="1:10" s="38" customFormat="1" x14ac:dyDescent="0.35">
      <c r="A26" s="7" t="s">
        <v>270</v>
      </c>
      <c r="B26" s="78">
        <v>8</v>
      </c>
      <c r="C26" s="24">
        <f>D18</f>
        <v>6.8095638260935081</v>
      </c>
      <c r="D26" s="35">
        <f>C26*B26</f>
        <v>54.476510608748065</v>
      </c>
      <c r="E26"/>
      <c r="G26" s="144"/>
    </row>
    <row r="27" spans="1:10" s="38" customFormat="1" x14ac:dyDescent="0.35">
      <c r="A27" s="7" t="s">
        <v>271</v>
      </c>
      <c r="B27" s="78">
        <v>4</v>
      </c>
      <c r="C27" s="24">
        <f>C26</f>
        <v>6.8095638260935081</v>
      </c>
      <c r="D27" s="35">
        <f>C27*B27</f>
        <v>27.238255304374032</v>
      </c>
      <c r="E27"/>
      <c r="F27"/>
    </row>
    <row r="28" spans="1:10" s="38" customFormat="1" x14ac:dyDescent="0.35">
      <c r="A28" s="7" t="s">
        <v>272</v>
      </c>
      <c r="B28" s="35">
        <f>B26-B27</f>
        <v>4</v>
      </c>
      <c r="C28" s="66">
        <f>(D28/B28)*90%</f>
        <v>12.257214886968315</v>
      </c>
      <c r="D28" s="35">
        <f>D26</f>
        <v>54.476510608748065</v>
      </c>
      <c r="E28"/>
      <c r="F28" s="83"/>
      <c r="G28"/>
      <c r="H28"/>
    </row>
    <row r="29" spans="1:10" s="38" customFormat="1" x14ac:dyDescent="0.35">
      <c r="A29" s="60"/>
      <c r="B29" s="60"/>
      <c r="C29" s="60"/>
      <c r="D29" s="64"/>
      <c r="E29" s="60"/>
    </row>
    <row r="30" spans="1:10" x14ac:dyDescent="0.35">
      <c r="A30" s="16" t="s">
        <v>275</v>
      </c>
      <c r="B30" s="50" t="s">
        <v>235</v>
      </c>
      <c r="C30" s="45">
        <v>1</v>
      </c>
      <c r="D30" s="45">
        <v>2</v>
      </c>
      <c r="E30" s="45">
        <v>3</v>
      </c>
      <c r="F30" s="45">
        <v>4</v>
      </c>
      <c r="G30" s="46">
        <v>5</v>
      </c>
      <c r="H30" s="46">
        <v>6</v>
      </c>
      <c r="I30" s="46">
        <v>7</v>
      </c>
      <c r="J30" s="46">
        <v>8</v>
      </c>
    </row>
    <row r="31" spans="1:10" x14ac:dyDescent="0.35">
      <c r="A31" s="17" t="s">
        <v>51</v>
      </c>
      <c r="B31" s="53"/>
      <c r="C31" s="24">
        <f>$C$28*C30</f>
        <v>12.257214886968315</v>
      </c>
      <c r="D31" s="24">
        <f t="shared" ref="D31:J31" si="4">$C$28*D30</f>
        <v>24.51442977393663</v>
      </c>
      <c r="E31" s="24">
        <f t="shared" si="4"/>
        <v>36.771644660904947</v>
      </c>
      <c r="F31" s="24">
        <f t="shared" si="4"/>
        <v>49.02885954787326</v>
      </c>
      <c r="G31" s="24">
        <f t="shared" si="4"/>
        <v>61.286074434841574</v>
      </c>
      <c r="H31" s="24">
        <f t="shared" si="4"/>
        <v>73.543289321809894</v>
      </c>
      <c r="I31" s="24">
        <f t="shared" si="4"/>
        <v>85.800504208778207</v>
      </c>
      <c r="J31" s="24">
        <f t="shared" si="4"/>
        <v>98.057719095746521</v>
      </c>
    </row>
    <row r="32" spans="1:10" x14ac:dyDescent="0.35">
      <c r="A32" s="16" t="s">
        <v>391</v>
      </c>
      <c r="B32" s="54">
        <v>1</v>
      </c>
      <c r="C32" s="24">
        <f>(($C$31+$B$32)+$C$53)*C30</f>
        <v>13.900718668534152</v>
      </c>
      <c r="D32" s="24">
        <f t="shared" ref="D32:J32" si="5">(($C$31+$B$32)+$C$53)*D30</f>
        <v>27.801437337068304</v>
      </c>
      <c r="E32" s="24">
        <f t="shared" si="5"/>
        <v>41.702156005602454</v>
      </c>
      <c r="F32" s="24">
        <f t="shared" si="5"/>
        <v>55.602874674136608</v>
      </c>
      <c r="G32" s="24">
        <f t="shared" si="5"/>
        <v>69.503593342670754</v>
      </c>
      <c r="H32" s="24">
        <f t="shared" si="5"/>
        <v>83.404312011204908</v>
      </c>
      <c r="I32" s="24">
        <f t="shared" si="5"/>
        <v>97.305030679739062</v>
      </c>
      <c r="J32" s="24">
        <f t="shared" si="5"/>
        <v>111.20574934827322</v>
      </c>
    </row>
    <row r="33" spans="1:10" x14ac:dyDescent="0.35">
      <c r="A33" s="55" t="s">
        <v>380</v>
      </c>
      <c r="B33" s="56"/>
      <c r="C33" s="34">
        <f>C32+(C32*5.5%)</f>
        <v>14.665258195303529</v>
      </c>
      <c r="D33" s="34">
        <f t="shared" ref="D33:J33" si="6">D32+(D32*5.5%)</f>
        <v>29.330516390607059</v>
      </c>
      <c r="E33" s="34">
        <f t="shared" si="6"/>
        <v>43.995774585910588</v>
      </c>
      <c r="F33" s="34">
        <f t="shared" si="6"/>
        <v>58.661032781214118</v>
      </c>
      <c r="G33" s="34">
        <f t="shared" si="6"/>
        <v>73.32629097651764</v>
      </c>
      <c r="H33" s="34">
        <f t="shared" si="6"/>
        <v>87.991549171821177</v>
      </c>
      <c r="I33" s="34">
        <f t="shared" si="6"/>
        <v>102.65680736712471</v>
      </c>
      <c r="J33" s="34">
        <f t="shared" si="6"/>
        <v>117.32206556242824</v>
      </c>
    </row>
    <row r="34" spans="1:10" s="38" customFormat="1" x14ac:dyDescent="0.35">
      <c r="A34" s="49" t="s">
        <v>233</v>
      </c>
      <c r="B34" s="15"/>
      <c r="C34" s="15"/>
      <c r="D34" s="15"/>
      <c r="E34" s="15"/>
      <c r="F34" s="15"/>
      <c r="G34" s="15"/>
    </row>
    <row r="35" spans="1:10" x14ac:dyDescent="0.35">
      <c r="A35" s="15"/>
      <c r="B35" s="14"/>
      <c r="C35" s="14"/>
      <c r="D35" s="14"/>
      <c r="E35" s="14"/>
    </row>
    <row r="36" spans="1:10" x14ac:dyDescent="0.35">
      <c r="A36" s="16" t="s">
        <v>388</v>
      </c>
      <c r="B36" s="56"/>
      <c r="C36" s="47">
        <v>1</v>
      </c>
      <c r="D36" s="47">
        <v>2</v>
      </c>
      <c r="E36" s="47">
        <v>3</v>
      </c>
      <c r="F36" s="47">
        <v>4</v>
      </c>
      <c r="G36" s="48">
        <v>5</v>
      </c>
      <c r="H36" s="48">
        <v>6</v>
      </c>
      <c r="I36" s="48">
        <v>7</v>
      </c>
      <c r="J36" s="48">
        <v>8</v>
      </c>
    </row>
    <row r="37" spans="1:10" x14ac:dyDescent="0.35">
      <c r="A37" s="17" t="s">
        <v>52</v>
      </c>
      <c r="B37" s="56"/>
      <c r="C37" s="24">
        <f>C31-($C$26*C36)</f>
        <v>5.447651060874807</v>
      </c>
      <c r="D37" s="24">
        <f t="shared" ref="D37:J37" si="7">D31-($C$26*D36)</f>
        <v>10.895302121749614</v>
      </c>
      <c r="E37" s="24">
        <f t="shared" si="7"/>
        <v>16.342953182624424</v>
      </c>
      <c r="F37" s="24">
        <f t="shared" si="7"/>
        <v>21.790604243499228</v>
      </c>
      <c r="G37" s="24">
        <f t="shared" si="7"/>
        <v>27.238255304374036</v>
      </c>
      <c r="H37" s="24">
        <f t="shared" si="7"/>
        <v>32.685906365248847</v>
      </c>
      <c r="I37" s="24">
        <f t="shared" si="7"/>
        <v>38.133557426123652</v>
      </c>
      <c r="J37" s="24">
        <f t="shared" si="7"/>
        <v>43.581208486998456</v>
      </c>
    </row>
    <row r="38" spans="1:10" x14ac:dyDescent="0.35">
      <c r="A38" s="17" t="s">
        <v>53</v>
      </c>
      <c r="B38" s="56"/>
      <c r="C38" s="24">
        <f>C32-C31</f>
        <v>1.6435037815658369</v>
      </c>
      <c r="D38" s="24">
        <f t="shared" ref="D38:J38" si="8">D32-D31</f>
        <v>3.2870075631316737</v>
      </c>
      <c r="E38" s="24">
        <f t="shared" si="8"/>
        <v>4.9305113446975071</v>
      </c>
      <c r="F38" s="24">
        <f t="shared" si="8"/>
        <v>6.5740151262633475</v>
      </c>
      <c r="G38" s="24">
        <f t="shared" si="8"/>
        <v>8.2175189078291808</v>
      </c>
      <c r="H38" s="24">
        <f t="shared" si="8"/>
        <v>9.8610226893950141</v>
      </c>
      <c r="I38" s="24">
        <f t="shared" si="8"/>
        <v>11.504526470960855</v>
      </c>
      <c r="J38" s="24">
        <f t="shared" si="8"/>
        <v>13.148030252526695</v>
      </c>
    </row>
    <row r="39" spans="1:10" s="38" customFormat="1" x14ac:dyDescent="0.35">
      <c r="A39" s="49" t="s">
        <v>234</v>
      </c>
      <c r="B39" s="15"/>
      <c r="C39" s="15"/>
      <c r="D39" s="15"/>
      <c r="E39" s="15"/>
      <c r="F39" s="15"/>
    </row>
    <row r="41" spans="1:10" x14ac:dyDescent="0.35">
      <c r="A41" s="2" t="s">
        <v>236</v>
      </c>
      <c r="B41" s="56"/>
      <c r="C41" s="47">
        <v>1</v>
      </c>
      <c r="D41" s="47">
        <v>2</v>
      </c>
      <c r="E41" s="47">
        <v>3</v>
      </c>
      <c r="F41" s="47">
        <v>4</v>
      </c>
      <c r="G41" s="48">
        <v>5</v>
      </c>
      <c r="H41" s="48">
        <v>6</v>
      </c>
      <c r="I41" s="48">
        <v>7</v>
      </c>
      <c r="J41" s="48">
        <v>8</v>
      </c>
    </row>
    <row r="42" spans="1:10" x14ac:dyDescent="0.35">
      <c r="A42" s="7" t="s">
        <v>238</v>
      </c>
      <c r="B42" s="56"/>
      <c r="C42" s="59">
        <f>IF($D$26=0,0,(C31)/$D$26)</f>
        <v>0.22500000000000001</v>
      </c>
      <c r="D42" s="59">
        <f t="shared" ref="D42:J42" si="9">IF($D$26=0,0,(D31)/$D$26)</f>
        <v>0.45</v>
      </c>
      <c r="E42" s="59">
        <f t="shared" si="9"/>
        <v>0.67500000000000004</v>
      </c>
      <c r="F42" s="59">
        <f>IF($D$26=0,0,(F31)/$D$26)</f>
        <v>0.9</v>
      </c>
      <c r="G42" s="59">
        <f t="shared" si="9"/>
        <v>1.125</v>
      </c>
      <c r="H42" s="59">
        <f t="shared" si="9"/>
        <v>1.35</v>
      </c>
      <c r="I42" s="59">
        <f t="shared" si="9"/>
        <v>1.5750000000000002</v>
      </c>
      <c r="J42" s="59">
        <f t="shared" si="9"/>
        <v>1.8</v>
      </c>
    </row>
    <row r="43" spans="1:10" x14ac:dyDescent="0.35">
      <c r="A43" s="7" t="s">
        <v>383</v>
      </c>
      <c r="B43" s="56"/>
      <c r="C43" s="24">
        <f>C38</f>
        <v>1.6435037815658369</v>
      </c>
      <c r="D43" s="24">
        <f t="shared" ref="D43:J43" si="10">D38</f>
        <v>3.2870075631316737</v>
      </c>
      <c r="E43" s="24">
        <f t="shared" si="10"/>
        <v>4.9305113446975071</v>
      </c>
      <c r="F43" s="24">
        <f t="shared" si="10"/>
        <v>6.5740151262633475</v>
      </c>
      <c r="G43" s="24">
        <f t="shared" si="10"/>
        <v>8.2175189078291808</v>
      </c>
      <c r="H43" s="24">
        <f t="shared" si="10"/>
        <v>9.8610226893950141</v>
      </c>
      <c r="I43" s="24">
        <f t="shared" si="10"/>
        <v>11.504526470960855</v>
      </c>
      <c r="J43" s="24">
        <f t="shared" si="10"/>
        <v>13.148030252526695</v>
      </c>
    </row>
    <row r="44" spans="1:10" s="60" customFormat="1" x14ac:dyDescent="0.35">
      <c r="B44" s="57"/>
      <c r="C44" s="15"/>
      <c r="D44" s="15"/>
      <c r="E44" s="15"/>
      <c r="F44" s="15"/>
      <c r="G44" s="15"/>
      <c r="H44" s="15"/>
      <c r="I44" s="15"/>
      <c r="J44" s="15"/>
    </row>
    <row r="45" spans="1:10" s="60" customFormat="1" x14ac:dyDescent="0.35">
      <c r="A45" s="71" t="s">
        <v>384</v>
      </c>
      <c r="B45" s="76"/>
      <c r="C45" s="111"/>
      <c r="D45" s="111"/>
      <c r="E45" s="111"/>
      <c r="F45" s="111"/>
      <c r="G45" s="111"/>
      <c r="H45" s="111"/>
      <c r="I45" s="111"/>
      <c r="J45" s="111"/>
    </row>
    <row r="46" spans="1:10" s="60" customFormat="1" x14ac:dyDescent="0.35">
      <c r="B46" s="57"/>
      <c r="C46" s="15"/>
      <c r="D46" s="15"/>
      <c r="E46" s="15"/>
      <c r="F46" s="15"/>
      <c r="G46" s="15"/>
      <c r="H46" s="15"/>
      <c r="I46" s="15"/>
      <c r="J46" s="15"/>
    </row>
    <row r="47" spans="1:10" s="60" customFormat="1" ht="43.5" x14ac:dyDescent="0.35">
      <c r="A47" s="109" t="s">
        <v>385</v>
      </c>
      <c r="B47" s="112">
        <v>0.15</v>
      </c>
      <c r="C47" s="48">
        <v>1</v>
      </c>
      <c r="D47" s="48">
        <v>2</v>
      </c>
      <c r="E47" s="48">
        <v>3</v>
      </c>
      <c r="F47" s="48">
        <v>4</v>
      </c>
      <c r="G47" s="48">
        <v>5</v>
      </c>
      <c r="H47" s="48">
        <v>6</v>
      </c>
      <c r="I47" s="48">
        <v>7</v>
      </c>
      <c r="J47" s="48">
        <v>8</v>
      </c>
    </row>
    <row r="48" spans="1:10" s="60" customFormat="1" x14ac:dyDescent="0.35">
      <c r="A48" s="11" t="s">
        <v>382</v>
      </c>
      <c r="B48" s="110"/>
      <c r="C48" s="24">
        <f>($C$26-$C$26*5.5%)*C47</f>
        <v>6.4350378156583652</v>
      </c>
      <c r="D48" s="24">
        <f>($C$26-$C$26*5.5%)*D47</f>
        <v>12.87007563131673</v>
      </c>
      <c r="E48" s="24">
        <f t="shared" ref="E48:J48" si="11">($C$26-$C$26*5.5%)*E47</f>
        <v>19.305113446975096</v>
      </c>
      <c r="F48" s="24">
        <f t="shared" si="11"/>
        <v>25.740151262633461</v>
      </c>
      <c r="G48" s="24">
        <f t="shared" si="11"/>
        <v>32.175189078291822</v>
      </c>
      <c r="H48" s="24">
        <f t="shared" si="11"/>
        <v>38.610226893950191</v>
      </c>
      <c r="I48" s="24">
        <f t="shared" si="11"/>
        <v>45.04526470960856</v>
      </c>
      <c r="J48" s="24">
        <f t="shared" si="11"/>
        <v>51.480302525266922</v>
      </c>
    </row>
    <row r="49" spans="1:10" s="60" customFormat="1" x14ac:dyDescent="0.35">
      <c r="A49" s="11" t="s">
        <v>281</v>
      </c>
      <c r="B49" s="16"/>
      <c r="C49" s="115">
        <f>C48*$B$47</f>
        <v>0.96525567234875476</v>
      </c>
      <c r="D49" s="115">
        <f t="shared" ref="D49:J49" si="12">D48*$B$47</f>
        <v>1.9305113446975095</v>
      </c>
      <c r="E49" s="115">
        <f t="shared" si="12"/>
        <v>2.8957670170462642</v>
      </c>
      <c r="F49" s="115">
        <f t="shared" si="12"/>
        <v>3.861022689395019</v>
      </c>
      <c r="G49" s="115">
        <f t="shared" si="12"/>
        <v>4.826278361743773</v>
      </c>
      <c r="H49" s="115">
        <f t="shared" si="12"/>
        <v>5.7915340340925283</v>
      </c>
      <c r="I49" s="115">
        <f t="shared" si="12"/>
        <v>6.7567897064412836</v>
      </c>
      <c r="J49" s="115">
        <f t="shared" si="12"/>
        <v>7.7220453787900381</v>
      </c>
    </row>
    <row r="50" spans="1:10" s="60" customFormat="1" x14ac:dyDescent="0.35">
      <c r="B50" s="57"/>
      <c r="C50" s="114"/>
      <c r="D50" s="114"/>
      <c r="E50" s="114"/>
      <c r="F50" s="114"/>
      <c r="G50" s="114"/>
      <c r="H50" s="114"/>
      <c r="I50" s="114"/>
      <c r="J50" s="114"/>
    </row>
    <row r="51" spans="1:10" s="60" customFormat="1" ht="43.5" x14ac:dyDescent="0.35">
      <c r="A51" s="109" t="s">
        <v>394</v>
      </c>
      <c r="B51" s="112">
        <v>0.1</v>
      </c>
      <c r="C51" s="48">
        <v>1</v>
      </c>
      <c r="D51" s="48">
        <v>2</v>
      </c>
      <c r="E51" s="48">
        <v>3</v>
      </c>
      <c r="F51" s="48">
        <v>4</v>
      </c>
      <c r="G51" s="48">
        <v>5</v>
      </c>
      <c r="H51" s="48">
        <v>6</v>
      </c>
      <c r="I51" s="48">
        <v>7</v>
      </c>
      <c r="J51" s="48">
        <v>8</v>
      </c>
    </row>
    <row r="52" spans="1:10" s="60" customFormat="1" x14ac:dyDescent="0.35">
      <c r="A52" s="11" t="s">
        <v>382</v>
      </c>
      <c r="B52" s="16"/>
      <c r="C52" s="24">
        <f>($C$26-$C$26*5.5%)*C51</f>
        <v>6.4350378156583652</v>
      </c>
      <c r="D52" s="24">
        <f>($C$26-$C$26*5.5%)*D51</f>
        <v>12.87007563131673</v>
      </c>
      <c r="E52" s="24">
        <f t="shared" ref="E52:J52" si="13">($C$26-$C$26*5.5%)*E51</f>
        <v>19.305113446975096</v>
      </c>
      <c r="F52" s="24">
        <f t="shared" si="13"/>
        <v>25.740151262633461</v>
      </c>
      <c r="G52" s="24">
        <f t="shared" si="13"/>
        <v>32.175189078291822</v>
      </c>
      <c r="H52" s="24">
        <f t="shared" si="13"/>
        <v>38.610226893950191</v>
      </c>
      <c r="I52" s="24">
        <f t="shared" si="13"/>
        <v>45.04526470960856</v>
      </c>
      <c r="J52" s="24">
        <f t="shared" si="13"/>
        <v>51.480302525266922</v>
      </c>
    </row>
    <row r="53" spans="1:10" s="60" customFormat="1" x14ac:dyDescent="0.35">
      <c r="A53" s="11" t="s">
        <v>386</v>
      </c>
      <c r="B53" s="16"/>
      <c r="C53" s="113">
        <f>C52*$B$51</f>
        <v>0.64350378156583654</v>
      </c>
      <c r="D53" s="113">
        <f t="shared" ref="D53:J53" si="14">D52*$B$51</f>
        <v>1.2870075631316731</v>
      </c>
      <c r="E53" s="113">
        <f t="shared" si="14"/>
        <v>1.9305113446975097</v>
      </c>
      <c r="F53" s="113">
        <f t="shared" si="14"/>
        <v>2.5740151262633462</v>
      </c>
      <c r="G53" s="113">
        <f t="shared" si="14"/>
        <v>3.2175189078291826</v>
      </c>
      <c r="H53" s="113">
        <f t="shared" si="14"/>
        <v>3.8610226893950195</v>
      </c>
      <c r="I53" s="113">
        <f t="shared" si="14"/>
        <v>4.5045264709608563</v>
      </c>
      <c r="J53" s="113">
        <f t="shared" si="14"/>
        <v>5.1480302525266923</v>
      </c>
    </row>
    <row r="54" spans="1:10" s="60" customFormat="1" x14ac:dyDescent="0.35">
      <c r="A54" s="11" t="s">
        <v>387</v>
      </c>
      <c r="B54" s="16"/>
      <c r="C54" s="113">
        <f>C43-C53</f>
        <v>1.0000000000000004</v>
      </c>
      <c r="D54" s="113">
        <f t="shared" ref="D54:J54" si="15">D43-D53</f>
        <v>2.0000000000000009</v>
      </c>
      <c r="E54" s="113">
        <f t="shared" si="15"/>
        <v>2.9999999999999973</v>
      </c>
      <c r="F54" s="113">
        <f>F43-F53</f>
        <v>4.0000000000000018</v>
      </c>
      <c r="G54" s="113">
        <f t="shared" si="15"/>
        <v>4.9999999999999982</v>
      </c>
      <c r="H54" s="113">
        <f t="shared" si="15"/>
        <v>5.9999999999999947</v>
      </c>
      <c r="I54" s="113">
        <f t="shared" si="15"/>
        <v>6.9999999999999982</v>
      </c>
      <c r="J54" s="113">
        <f t="shared" si="15"/>
        <v>8.0000000000000036</v>
      </c>
    </row>
    <row r="56" spans="1:10" x14ac:dyDescent="0.35">
      <c r="A56" s="68" t="s">
        <v>416</v>
      </c>
      <c r="B56" s="67"/>
      <c r="C56" s="67"/>
      <c r="D56" s="67"/>
      <c r="E56" s="67"/>
      <c r="F56" s="67"/>
      <c r="G56" s="67"/>
      <c r="H56" s="67"/>
      <c r="I56" s="67"/>
      <c r="J56" s="67"/>
    </row>
    <row r="58" spans="1:10" x14ac:dyDescent="0.35">
      <c r="A58" s="117" t="s">
        <v>389</v>
      </c>
      <c r="B58" s="118"/>
    </row>
    <row r="59" spans="1:10" x14ac:dyDescent="0.35">
      <c r="A59" s="116" t="s">
        <v>393</v>
      </c>
      <c r="B59" s="145">
        <f>J49</f>
        <v>7.7220453787900381</v>
      </c>
    </row>
    <row r="60" spans="1:10" x14ac:dyDescent="0.35">
      <c r="A60" s="42" t="s">
        <v>392</v>
      </c>
      <c r="B60" s="24">
        <f>F38</f>
        <v>6.5740151262633475</v>
      </c>
    </row>
    <row r="61" spans="1:10" x14ac:dyDescent="0.35">
      <c r="A61" s="120" t="s">
        <v>48</v>
      </c>
      <c r="B61" s="34">
        <f>SUM(B59:B60)</f>
        <v>14.296060505053386</v>
      </c>
    </row>
    <row r="63" spans="1:10" x14ac:dyDescent="0.35">
      <c r="A63" s="117" t="s">
        <v>390</v>
      </c>
      <c r="B63" s="118"/>
    </row>
    <row r="64" spans="1:10" x14ac:dyDescent="0.35">
      <c r="A64" s="116" t="s">
        <v>393</v>
      </c>
      <c r="B64" s="145">
        <f>J49</f>
        <v>7.7220453787900381</v>
      </c>
    </row>
    <row r="65" spans="1:10" x14ac:dyDescent="0.35">
      <c r="A65" s="42" t="s">
        <v>392</v>
      </c>
      <c r="B65" s="24">
        <f>F54</f>
        <v>4.0000000000000018</v>
      </c>
    </row>
    <row r="66" spans="1:10" x14ac:dyDescent="0.35">
      <c r="A66" s="120" t="s">
        <v>48</v>
      </c>
      <c r="B66" s="34">
        <f>SUM(B64:B65)</f>
        <v>11.722045378790039</v>
      </c>
    </row>
    <row r="68" spans="1:10" x14ac:dyDescent="0.35">
      <c r="A68" s="68" t="s">
        <v>422</v>
      </c>
      <c r="B68" s="67"/>
      <c r="C68" s="67"/>
      <c r="D68" s="67"/>
      <c r="E68" s="67"/>
      <c r="F68" s="67"/>
      <c r="G68" s="67"/>
      <c r="H68" s="67"/>
      <c r="I68" s="67"/>
      <c r="J68" s="67"/>
    </row>
    <row r="70" spans="1:10" x14ac:dyDescent="0.35">
      <c r="A70" s="117" t="s">
        <v>389</v>
      </c>
      <c r="B70" s="118"/>
    </row>
    <row r="71" spans="1:10" x14ac:dyDescent="0.35">
      <c r="A71" s="42" t="s">
        <v>405</v>
      </c>
      <c r="B71" s="24">
        <f>D26</f>
        <v>54.476510608748065</v>
      </c>
    </row>
    <row r="72" spans="1:10" x14ac:dyDescent="0.35">
      <c r="A72" s="116" t="s">
        <v>393</v>
      </c>
      <c r="B72" s="145">
        <f>0-J49</f>
        <v>-7.7220453787900381</v>
      </c>
    </row>
    <row r="73" spans="1:10" x14ac:dyDescent="0.35">
      <c r="A73" s="120" t="s">
        <v>48</v>
      </c>
      <c r="B73" s="34">
        <f>SUM(B71:B72)</f>
        <v>46.754465229958029</v>
      </c>
    </row>
    <row r="75" spans="1:10" x14ac:dyDescent="0.35">
      <c r="A75" s="133" t="s">
        <v>390</v>
      </c>
      <c r="B75" s="134"/>
    </row>
    <row r="76" spans="1:10" x14ac:dyDescent="0.35">
      <c r="A76" s="42" t="s">
        <v>405</v>
      </c>
      <c r="B76" s="24">
        <f>D26</f>
        <v>54.476510608748065</v>
      </c>
    </row>
    <row r="77" spans="1:10" x14ac:dyDescent="0.35">
      <c r="A77" s="42" t="s">
        <v>393</v>
      </c>
      <c r="B77" s="24">
        <f>0-J49</f>
        <v>-7.7220453787900381</v>
      </c>
    </row>
    <row r="78" spans="1:10" x14ac:dyDescent="0.35">
      <c r="A78" s="42" t="s">
        <v>406</v>
      </c>
      <c r="B78" s="24">
        <f>F53</f>
        <v>2.5740151262633462</v>
      </c>
    </row>
    <row r="79" spans="1:10" x14ac:dyDescent="0.35">
      <c r="A79" s="120" t="s">
        <v>48</v>
      </c>
      <c r="B79" s="34">
        <f>SUM(B76:B78)</f>
        <v>49.328480356221377</v>
      </c>
    </row>
    <row r="80" spans="1:10" s="40" customFormat="1" x14ac:dyDescent="0.35">
      <c r="A80" s="121"/>
      <c r="B80" s="122"/>
    </row>
    <row r="81" spans="1:2" s="40" customFormat="1" x14ac:dyDescent="0.35">
      <c r="A81" s="121"/>
      <c r="B81" s="122"/>
    </row>
    <row r="82" spans="1:2" s="40" customFormat="1" x14ac:dyDescent="0.35">
      <c r="A82" s="37" t="s">
        <v>96</v>
      </c>
      <c r="B82" s="122"/>
    </row>
    <row r="83" spans="1:2" s="40" customFormat="1" x14ac:dyDescent="0.35">
      <c r="A83" s="121"/>
      <c r="B83" s="122"/>
    </row>
    <row r="84" spans="1:2" x14ac:dyDescent="0.35">
      <c r="A84" s="2" t="s">
        <v>67</v>
      </c>
      <c r="B84" s="7"/>
    </row>
    <row r="85" spans="1:2" x14ac:dyDescent="0.35">
      <c r="A85" s="7" t="s">
        <v>116</v>
      </c>
      <c r="B85" s="7"/>
    </row>
    <row r="86" spans="1:2" x14ac:dyDescent="0.35">
      <c r="A86" s="7" t="s">
        <v>140</v>
      </c>
      <c r="B86" s="7"/>
    </row>
    <row r="88" spans="1:2" x14ac:dyDescent="0.35">
      <c r="A88" s="39" t="s">
        <v>115</v>
      </c>
      <c r="B88" s="40"/>
    </row>
    <row r="90" spans="1:2" x14ac:dyDescent="0.35">
      <c r="A90" t="s">
        <v>587</v>
      </c>
    </row>
    <row r="91" spans="1:2" x14ac:dyDescent="0.35">
      <c r="A91" t="s">
        <v>588</v>
      </c>
    </row>
    <row r="92" spans="1:2" x14ac:dyDescent="0.35">
      <c r="A92" t="s">
        <v>589</v>
      </c>
    </row>
    <row r="93" spans="1:2" x14ac:dyDescent="0.35">
      <c r="A93" t="s">
        <v>590</v>
      </c>
    </row>
    <row r="94" spans="1:2" x14ac:dyDescent="0.35">
      <c r="A94" t="s">
        <v>591</v>
      </c>
    </row>
    <row r="95" spans="1:2" x14ac:dyDescent="0.35">
      <c r="A95" t="s">
        <v>592</v>
      </c>
    </row>
  </sheetData>
  <conditionalFormatting sqref="C42:J42">
    <cfRule type="cellIs" dxfId="64" priority="7" operator="greaterThanOrEqual">
      <formula>1</formula>
    </cfRule>
    <cfRule type="cellIs" dxfId="63" priority="8" operator="between">
      <formula>0.5</formula>
      <formula>1</formula>
    </cfRule>
  </conditionalFormatting>
  <conditionalFormatting sqref="C43:J43">
    <cfRule type="cellIs" dxfId="62" priority="5" operator="between">
      <formula>2</formula>
      <formula>4</formula>
    </cfRule>
    <cfRule type="cellIs" dxfId="61" priority="6" operator="greaterThanOrEqual">
      <formula>4</formula>
    </cfRule>
  </conditionalFormatting>
  <conditionalFormatting sqref="C53:J53">
    <cfRule type="cellIs" dxfId="60" priority="4" operator="greaterThanOrEqual">
      <formula>$J$49</formula>
    </cfRule>
  </conditionalFormatting>
  <conditionalFormatting sqref="C54:J54">
    <cfRule type="cellIs" dxfId="59" priority="2" operator="between">
      <formula>2</formula>
      <formula>4</formula>
    </cfRule>
    <cfRule type="cellIs" dxfId="58" priority="3" operator="greaterThanOrEqual">
      <formula>4</formula>
    </cfRule>
  </conditionalFormatting>
  <conditionalFormatting sqref="C49:J49">
    <cfRule type="cellIs" dxfId="57" priority="1" operator="greaterThanOrEqual">
      <formula>0.5</formula>
    </cfRule>
  </conditionalFormatting>
  <dataValidations count="1">
    <dataValidation type="list" allowBlank="1" showInputMessage="1" showErrorMessage="1" sqref="F6 A6:A16">
      <formula1>Ingrédients_recettes</formula1>
    </dataValidation>
  </dataValidations>
  <pageMargins left="0.7" right="0.7" top="0.75" bottom="0.75" header="0.3" footer="0.3"/>
  <pageSetup paperSize="9" scale="59"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7"/>
  <sheetViews>
    <sheetView workbookViewId="0">
      <selection activeCell="D20" sqref="D20"/>
    </sheetView>
  </sheetViews>
  <sheetFormatPr baseColWidth="10" defaultRowHeight="14.5" x14ac:dyDescent="0.35"/>
  <cols>
    <col min="1" max="1" width="34.1796875" customWidth="1"/>
    <col min="2" max="2" width="14.6328125" bestFit="1" customWidth="1"/>
    <col min="3" max="3" width="13.1796875" bestFit="1" customWidth="1"/>
    <col min="4" max="4" width="14.36328125" bestFit="1" customWidth="1"/>
    <col min="5" max="5" width="10.1796875" bestFit="1" customWidth="1"/>
    <col min="6" max="6" width="12" customWidth="1"/>
    <col min="7" max="7" width="9.81640625" customWidth="1"/>
    <col min="8" max="8" width="10.90625" customWidth="1"/>
  </cols>
  <sheetData>
    <row r="1" spans="1:9" x14ac:dyDescent="0.35">
      <c r="A1" s="103" t="s">
        <v>423</v>
      </c>
      <c r="B1" s="104"/>
      <c r="C1" s="104"/>
      <c r="D1" s="104"/>
      <c r="E1" s="104"/>
      <c r="F1" s="104"/>
      <c r="G1" s="104"/>
      <c r="H1" s="63"/>
    </row>
    <row r="2" spans="1:9" s="38" customFormat="1" x14ac:dyDescent="0.35">
      <c r="A2" s="73"/>
      <c r="B2" s="74"/>
      <c r="C2" s="74"/>
      <c r="D2" s="74"/>
      <c r="E2" s="74"/>
      <c r="F2" s="74"/>
      <c r="G2" s="74"/>
    </row>
    <row r="3" spans="1:9" s="38" customFormat="1" x14ac:dyDescent="0.35">
      <c r="A3" s="68" t="s">
        <v>276</v>
      </c>
      <c r="B3" s="75"/>
      <c r="C3" s="75"/>
      <c r="D3" s="75"/>
      <c r="E3" s="75"/>
      <c r="F3" s="75"/>
      <c r="G3" s="75"/>
      <c r="H3" s="67"/>
    </row>
    <row r="5" spans="1:9" x14ac:dyDescent="0.35">
      <c r="A5" s="2" t="s">
        <v>68</v>
      </c>
      <c r="B5" s="2" t="s">
        <v>41</v>
      </c>
      <c r="C5" s="2" t="s">
        <v>42</v>
      </c>
      <c r="D5" s="2" t="s">
        <v>40</v>
      </c>
    </row>
    <row r="6" spans="1:9" x14ac:dyDescent="0.35">
      <c r="A6" s="7"/>
      <c r="B6" s="4"/>
      <c r="C6" s="31">
        <f t="shared" ref="C6:C15" si="0">IF(ISERROR(VLOOKUP(A6,Tableau_produits,6,FALSE)),0,VLOOKUP(A6,Tableau_produits,6,FALSE))</f>
        <v>0</v>
      </c>
      <c r="D6" s="32">
        <f>C6*B6</f>
        <v>0</v>
      </c>
      <c r="E6" s="88"/>
      <c r="I6" s="89"/>
    </row>
    <row r="7" spans="1:9" x14ac:dyDescent="0.35">
      <c r="A7" s="7"/>
      <c r="B7" s="4"/>
      <c r="C7" s="31">
        <f t="shared" si="0"/>
        <v>0</v>
      </c>
      <c r="D7" s="32">
        <f>C7*B7</f>
        <v>0</v>
      </c>
      <c r="I7" s="89"/>
    </row>
    <row r="8" spans="1:9" x14ac:dyDescent="0.35">
      <c r="A8" s="7"/>
      <c r="B8" s="4"/>
      <c r="C8" s="31">
        <f t="shared" si="0"/>
        <v>0</v>
      </c>
      <c r="D8" s="32">
        <f t="shared" ref="D8:D15" si="1">C8*B8</f>
        <v>0</v>
      </c>
      <c r="I8" s="89"/>
    </row>
    <row r="9" spans="1:9" x14ac:dyDescent="0.35">
      <c r="A9" s="7"/>
      <c r="B9" s="4"/>
      <c r="C9" s="31">
        <f t="shared" si="0"/>
        <v>0</v>
      </c>
      <c r="D9" s="32">
        <f t="shared" si="1"/>
        <v>0</v>
      </c>
      <c r="I9" s="89"/>
    </row>
    <row r="10" spans="1:9" x14ac:dyDescent="0.35">
      <c r="A10" s="7"/>
      <c r="B10" s="86"/>
      <c r="C10" s="31">
        <f t="shared" si="0"/>
        <v>0</v>
      </c>
      <c r="D10" s="32">
        <f t="shared" si="1"/>
        <v>0</v>
      </c>
      <c r="I10" s="40"/>
    </row>
    <row r="11" spans="1:9" x14ac:dyDescent="0.35">
      <c r="A11" s="7"/>
      <c r="B11" s="86"/>
      <c r="C11" s="31">
        <f t="shared" si="0"/>
        <v>0</v>
      </c>
      <c r="D11" s="32">
        <f t="shared" si="1"/>
        <v>0</v>
      </c>
    </row>
    <row r="12" spans="1:9" x14ac:dyDescent="0.35">
      <c r="A12" s="7"/>
      <c r="B12" s="10"/>
      <c r="C12" s="31">
        <f t="shared" si="0"/>
        <v>0</v>
      </c>
      <c r="D12" s="33">
        <f t="shared" si="1"/>
        <v>0</v>
      </c>
    </row>
    <row r="13" spans="1:9" x14ac:dyDescent="0.35">
      <c r="A13" s="7"/>
      <c r="B13" s="10"/>
      <c r="C13" s="31">
        <f t="shared" si="0"/>
        <v>0</v>
      </c>
      <c r="D13" s="33">
        <f t="shared" si="1"/>
        <v>0</v>
      </c>
    </row>
    <row r="14" spans="1:9" x14ac:dyDescent="0.35">
      <c r="A14" s="7"/>
      <c r="B14" s="10"/>
      <c r="C14" s="31">
        <f t="shared" si="0"/>
        <v>0</v>
      </c>
      <c r="D14" s="33">
        <f t="shared" si="1"/>
        <v>0</v>
      </c>
    </row>
    <row r="15" spans="1:9" x14ac:dyDescent="0.35">
      <c r="A15" s="7"/>
      <c r="B15" s="87"/>
      <c r="C15" s="31">
        <f t="shared" si="0"/>
        <v>0</v>
      </c>
      <c r="D15" s="33">
        <f t="shared" si="1"/>
        <v>0</v>
      </c>
    </row>
    <row r="16" spans="1:9" x14ac:dyDescent="0.35">
      <c r="A16" s="13" t="s">
        <v>48</v>
      </c>
      <c r="B16" s="13"/>
      <c r="C16" s="13"/>
      <c r="D16" s="34">
        <f>SUM(D6:D15)</f>
        <v>0</v>
      </c>
    </row>
    <row r="17" spans="1:10" x14ac:dyDescent="0.35">
      <c r="A17" s="34" t="str">
        <f>"Coût par portion ("&amp;ROUND(C20*1000,0)&amp;"g)"</f>
        <v>Coût par portion (0g)</v>
      </c>
      <c r="B17" s="13"/>
      <c r="C17" s="13"/>
      <c r="D17" s="34">
        <f>IF(E20=0,0,D16/E20)</f>
        <v>0</v>
      </c>
    </row>
    <row r="19" spans="1:10" ht="43.5" x14ac:dyDescent="0.35">
      <c r="A19" s="2" t="s">
        <v>90</v>
      </c>
      <c r="B19" s="28" t="s">
        <v>91</v>
      </c>
      <c r="C19" s="28" t="s">
        <v>94</v>
      </c>
      <c r="D19" s="28" t="s">
        <v>92</v>
      </c>
      <c r="E19" s="28" t="s">
        <v>95</v>
      </c>
    </row>
    <row r="20" spans="1:10" x14ac:dyDescent="0.35">
      <c r="A20" s="7" t="s">
        <v>93</v>
      </c>
      <c r="B20" s="7"/>
      <c r="C20" s="7">
        <v>0</v>
      </c>
      <c r="D20" s="30"/>
      <c r="E20" s="35">
        <f>TRUNC(D20)</f>
        <v>0</v>
      </c>
    </row>
    <row r="21" spans="1:10" s="38" customFormat="1" x14ac:dyDescent="0.35">
      <c r="A21" s="60"/>
      <c r="B21" s="60"/>
      <c r="C21" s="60"/>
      <c r="D21" s="64"/>
      <c r="E21" s="60"/>
    </row>
    <row r="22" spans="1:10" s="38" customFormat="1" x14ac:dyDescent="0.35">
      <c r="A22" s="71" t="s">
        <v>277</v>
      </c>
      <c r="B22" s="69"/>
      <c r="C22" s="69"/>
      <c r="D22" s="70"/>
      <c r="E22" s="69"/>
      <c r="F22" s="67"/>
      <c r="G22" s="67"/>
      <c r="H22" s="67"/>
    </row>
    <row r="23" spans="1:10" s="38" customFormat="1" x14ac:dyDescent="0.35">
      <c r="A23" s="60"/>
      <c r="B23" s="60"/>
      <c r="C23" s="60"/>
      <c r="D23" s="64"/>
      <c r="E23" s="60"/>
    </row>
    <row r="24" spans="1:10" s="38" customFormat="1" x14ac:dyDescent="0.35">
      <c r="A24" s="16" t="s">
        <v>274</v>
      </c>
      <c r="B24" s="2" t="s">
        <v>267</v>
      </c>
      <c r="C24" s="2" t="s">
        <v>268</v>
      </c>
      <c r="D24" s="2" t="s">
        <v>269</v>
      </c>
      <c r="E24"/>
    </row>
    <row r="25" spans="1:10" s="38" customFormat="1" x14ac:dyDescent="0.35">
      <c r="A25" s="7" t="s">
        <v>270</v>
      </c>
      <c r="B25" s="78">
        <v>8</v>
      </c>
      <c r="C25" s="24">
        <f>D17</f>
        <v>0</v>
      </c>
      <c r="D25" s="35">
        <f>C25*B25</f>
        <v>0</v>
      </c>
      <c r="E25"/>
      <c r="G25" s="144"/>
    </row>
    <row r="26" spans="1:10" s="38" customFormat="1" x14ac:dyDescent="0.35">
      <c r="A26" s="7" t="s">
        <v>271</v>
      </c>
      <c r="B26" s="78">
        <v>4</v>
      </c>
      <c r="C26" s="24">
        <f>C25</f>
        <v>0</v>
      </c>
      <c r="D26" s="35">
        <f>C26*B26</f>
        <v>0</v>
      </c>
      <c r="E26"/>
      <c r="F26"/>
    </row>
    <row r="27" spans="1:10" s="38" customFormat="1" x14ac:dyDescent="0.35">
      <c r="A27" s="7" t="s">
        <v>272</v>
      </c>
      <c r="B27" s="35">
        <f>B25-B26</f>
        <v>4</v>
      </c>
      <c r="C27" s="66">
        <f>(D27/B27)*90%</f>
        <v>0</v>
      </c>
      <c r="D27" s="35">
        <f>D25</f>
        <v>0</v>
      </c>
      <c r="E27"/>
      <c r="F27" s="83"/>
      <c r="G27"/>
      <c r="H27"/>
    </row>
    <row r="28" spans="1:10" s="38" customFormat="1" x14ac:dyDescent="0.35">
      <c r="A28" s="60"/>
      <c r="B28" s="60"/>
      <c r="C28" s="60"/>
      <c r="D28" s="64"/>
      <c r="E28" s="60"/>
    </row>
    <row r="29" spans="1:10" x14ac:dyDescent="0.35">
      <c r="A29" s="16" t="s">
        <v>275</v>
      </c>
      <c r="B29" s="50" t="s">
        <v>235</v>
      </c>
      <c r="C29" s="45">
        <v>1</v>
      </c>
      <c r="D29" s="45">
        <v>2</v>
      </c>
      <c r="E29" s="45">
        <v>3</v>
      </c>
      <c r="F29" s="45">
        <v>4</v>
      </c>
      <c r="G29" s="46">
        <v>5</v>
      </c>
      <c r="H29" s="46">
        <v>6</v>
      </c>
      <c r="I29" s="46">
        <v>7</v>
      </c>
      <c r="J29" s="46">
        <v>8</v>
      </c>
    </row>
    <row r="30" spans="1:10" x14ac:dyDescent="0.35">
      <c r="A30" s="17" t="s">
        <v>51</v>
      </c>
      <c r="B30" s="53"/>
      <c r="C30" s="24">
        <f>$C$27*C29</f>
        <v>0</v>
      </c>
      <c r="D30" s="24">
        <f t="shared" ref="D30:J30" si="2">$C$27*D29</f>
        <v>0</v>
      </c>
      <c r="E30" s="24">
        <f t="shared" si="2"/>
        <v>0</v>
      </c>
      <c r="F30" s="24">
        <f t="shared" si="2"/>
        <v>0</v>
      </c>
      <c r="G30" s="24">
        <f t="shared" si="2"/>
        <v>0</v>
      </c>
      <c r="H30" s="24">
        <f t="shared" si="2"/>
        <v>0</v>
      </c>
      <c r="I30" s="24">
        <f t="shared" si="2"/>
        <v>0</v>
      </c>
      <c r="J30" s="24">
        <f t="shared" si="2"/>
        <v>0</v>
      </c>
    </row>
    <row r="31" spans="1:10" x14ac:dyDescent="0.35">
      <c r="A31" s="16" t="s">
        <v>391</v>
      </c>
      <c r="B31" s="54">
        <v>1</v>
      </c>
      <c r="C31" s="24">
        <f>(($C$30+$B$31)+$C$52)*C29</f>
        <v>1</v>
      </c>
      <c r="D31" s="24">
        <f t="shared" ref="D31:J31" si="3">(($C$30+$B$31)+$C$52)*D29</f>
        <v>2</v>
      </c>
      <c r="E31" s="24">
        <f t="shared" si="3"/>
        <v>3</v>
      </c>
      <c r="F31" s="24">
        <f t="shared" si="3"/>
        <v>4</v>
      </c>
      <c r="G31" s="24">
        <f t="shared" si="3"/>
        <v>5</v>
      </c>
      <c r="H31" s="24">
        <f t="shared" si="3"/>
        <v>6</v>
      </c>
      <c r="I31" s="24">
        <f t="shared" si="3"/>
        <v>7</v>
      </c>
      <c r="J31" s="24">
        <f t="shared" si="3"/>
        <v>8</v>
      </c>
    </row>
    <row r="32" spans="1:10" x14ac:dyDescent="0.35">
      <c r="A32" s="55" t="s">
        <v>380</v>
      </c>
      <c r="B32" s="56"/>
      <c r="C32" s="34">
        <f>C31+(C31*5.5%)</f>
        <v>1.0549999999999999</v>
      </c>
      <c r="D32" s="34">
        <f t="shared" ref="D32:J32" si="4">D31+(D31*5.5%)</f>
        <v>2.11</v>
      </c>
      <c r="E32" s="34">
        <f t="shared" si="4"/>
        <v>3.165</v>
      </c>
      <c r="F32" s="34">
        <f t="shared" si="4"/>
        <v>4.22</v>
      </c>
      <c r="G32" s="34">
        <f t="shared" si="4"/>
        <v>5.2750000000000004</v>
      </c>
      <c r="H32" s="34">
        <f t="shared" si="4"/>
        <v>6.33</v>
      </c>
      <c r="I32" s="34">
        <f t="shared" si="4"/>
        <v>7.3849999999999998</v>
      </c>
      <c r="J32" s="34">
        <f t="shared" si="4"/>
        <v>8.44</v>
      </c>
    </row>
    <row r="33" spans="1:10" s="38" customFormat="1" x14ac:dyDescent="0.35">
      <c r="A33" s="49" t="s">
        <v>233</v>
      </c>
      <c r="B33" s="15"/>
      <c r="C33" s="15"/>
      <c r="D33" s="15"/>
      <c r="E33" s="15"/>
      <c r="F33" s="15"/>
      <c r="G33" s="15"/>
    </row>
    <row r="34" spans="1:10" x14ac:dyDescent="0.35">
      <c r="A34" s="15"/>
      <c r="B34" s="14"/>
      <c r="C34" s="14"/>
      <c r="D34" s="14"/>
      <c r="E34" s="14"/>
    </row>
    <row r="35" spans="1:10" x14ac:dyDescent="0.35">
      <c r="A35" s="16" t="s">
        <v>388</v>
      </c>
      <c r="B35" s="56"/>
      <c r="C35" s="47">
        <v>1</v>
      </c>
      <c r="D35" s="47">
        <v>2</v>
      </c>
      <c r="E35" s="47">
        <v>3</v>
      </c>
      <c r="F35" s="47">
        <v>4</v>
      </c>
      <c r="G35" s="48">
        <v>5</v>
      </c>
      <c r="H35" s="48">
        <v>6</v>
      </c>
      <c r="I35" s="48">
        <v>7</v>
      </c>
      <c r="J35" s="48">
        <v>8</v>
      </c>
    </row>
    <row r="36" spans="1:10" x14ac:dyDescent="0.35">
      <c r="A36" s="17" t="s">
        <v>52</v>
      </c>
      <c r="B36" s="56"/>
      <c r="C36" s="24">
        <f>C30-($C$25*C35)</f>
        <v>0</v>
      </c>
      <c r="D36" s="24">
        <f t="shared" ref="D36:J36" si="5">D30-($C$25*D35)</f>
        <v>0</v>
      </c>
      <c r="E36" s="24">
        <f t="shared" si="5"/>
        <v>0</v>
      </c>
      <c r="F36" s="24">
        <f t="shared" si="5"/>
        <v>0</v>
      </c>
      <c r="G36" s="24">
        <f t="shared" si="5"/>
        <v>0</v>
      </c>
      <c r="H36" s="24">
        <f t="shared" si="5"/>
        <v>0</v>
      </c>
      <c r="I36" s="24">
        <f t="shared" si="5"/>
        <v>0</v>
      </c>
      <c r="J36" s="24">
        <f t="shared" si="5"/>
        <v>0</v>
      </c>
    </row>
    <row r="37" spans="1:10" x14ac:dyDescent="0.35">
      <c r="A37" s="17" t="s">
        <v>53</v>
      </c>
      <c r="B37" s="56"/>
      <c r="C37" s="24">
        <f>C31-C30</f>
        <v>1</v>
      </c>
      <c r="D37" s="24">
        <f t="shared" ref="D37:J37" si="6">D31-D30</f>
        <v>2</v>
      </c>
      <c r="E37" s="24">
        <f t="shared" si="6"/>
        <v>3</v>
      </c>
      <c r="F37" s="24">
        <f t="shared" si="6"/>
        <v>4</v>
      </c>
      <c r="G37" s="24">
        <f t="shared" si="6"/>
        <v>5</v>
      </c>
      <c r="H37" s="24">
        <f t="shared" si="6"/>
        <v>6</v>
      </c>
      <c r="I37" s="24">
        <f t="shared" si="6"/>
        <v>7</v>
      </c>
      <c r="J37" s="24">
        <f t="shared" si="6"/>
        <v>8</v>
      </c>
    </row>
    <row r="38" spans="1:10" s="38" customFormat="1" x14ac:dyDescent="0.35">
      <c r="A38" s="49" t="s">
        <v>234</v>
      </c>
      <c r="B38" s="15"/>
      <c r="C38" s="15"/>
      <c r="D38" s="15"/>
      <c r="E38" s="15"/>
      <c r="F38" s="15"/>
    </row>
    <row r="40" spans="1:10" x14ac:dyDescent="0.35">
      <c r="A40" s="2" t="s">
        <v>236</v>
      </c>
      <c r="B40" s="56"/>
      <c r="C40" s="47">
        <v>1</v>
      </c>
      <c r="D40" s="47">
        <v>2</v>
      </c>
      <c r="E40" s="47">
        <v>3</v>
      </c>
      <c r="F40" s="47">
        <v>4</v>
      </c>
      <c r="G40" s="48">
        <v>5</v>
      </c>
      <c r="H40" s="48">
        <v>6</v>
      </c>
      <c r="I40" s="48">
        <v>7</v>
      </c>
      <c r="J40" s="48">
        <v>8</v>
      </c>
    </row>
    <row r="41" spans="1:10" x14ac:dyDescent="0.35">
      <c r="A41" s="7" t="s">
        <v>238</v>
      </c>
      <c r="B41" s="56"/>
      <c r="C41" s="59">
        <f>IF($D$25=0,0,(C30)/$D$25)</f>
        <v>0</v>
      </c>
      <c r="D41" s="59">
        <f t="shared" ref="D41:J41" si="7">IF($D$25=0,0,(D30)/$D$25)</f>
        <v>0</v>
      </c>
      <c r="E41" s="59">
        <f t="shared" si="7"/>
        <v>0</v>
      </c>
      <c r="F41" s="59">
        <f>IF($D$25=0,0,(F30)/$D$25)</f>
        <v>0</v>
      </c>
      <c r="G41" s="59">
        <f t="shared" si="7"/>
        <v>0</v>
      </c>
      <c r="H41" s="59">
        <f t="shared" si="7"/>
        <v>0</v>
      </c>
      <c r="I41" s="59">
        <f t="shared" si="7"/>
        <v>0</v>
      </c>
      <c r="J41" s="59">
        <f t="shared" si="7"/>
        <v>0</v>
      </c>
    </row>
    <row r="42" spans="1:10" x14ac:dyDescent="0.35">
      <c r="A42" s="7" t="s">
        <v>383</v>
      </c>
      <c r="B42" s="56"/>
      <c r="C42" s="24">
        <f>C37</f>
        <v>1</v>
      </c>
      <c r="D42" s="24">
        <f t="shared" ref="D42:J42" si="8">D37</f>
        <v>2</v>
      </c>
      <c r="E42" s="24">
        <f t="shared" si="8"/>
        <v>3</v>
      </c>
      <c r="F42" s="24">
        <f t="shared" si="8"/>
        <v>4</v>
      </c>
      <c r="G42" s="24">
        <f t="shared" si="8"/>
        <v>5</v>
      </c>
      <c r="H42" s="24">
        <f t="shared" si="8"/>
        <v>6</v>
      </c>
      <c r="I42" s="24">
        <f t="shared" si="8"/>
        <v>7</v>
      </c>
      <c r="J42" s="24">
        <f t="shared" si="8"/>
        <v>8</v>
      </c>
    </row>
    <row r="43" spans="1:10" s="60" customFormat="1" x14ac:dyDescent="0.35">
      <c r="B43" s="57"/>
      <c r="C43" s="15"/>
      <c r="D43" s="15"/>
      <c r="E43" s="15"/>
      <c r="F43" s="15"/>
      <c r="G43" s="15"/>
      <c r="H43" s="15"/>
      <c r="I43" s="15"/>
      <c r="J43" s="15"/>
    </row>
    <row r="44" spans="1:10" s="60" customFormat="1" x14ac:dyDescent="0.35">
      <c r="A44" s="71" t="s">
        <v>384</v>
      </c>
      <c r="B44" s="76"/>
      <c r="C44" s="111"/>
      <c r="D44" s="111"/>
      <c r="E44" s="111"/>
      <c r="F44" s="111"/>
      <c r="G44" s="111"/>
      <c r="H44" s="111"/>
      <c r="I44" s="111"/>
      <c r="J44" s="111"/>
    </row>
    <row r="45" spans="1:10" s="60" customFormat="1" x14ac:dyDescent="0.35">
      <c r="B45" s="57"/>
      <c r="C45" s="15"/>
      <c r="D45" s="15"/>
      <c r="E45" s="15"/>
      <c r="F45" s="15"/>
      <c r="G45" s="15"/>
      <c r="H45" s="15"/>
      <c r="I45" s="15"/>
      <c r="J45" s="15"/>
    </row>
    <row r="46" spans="1:10" s="60" customFormat="1" ht="43.5" x14ac:dyDescent="0.35">
      <c r="A46" s="109" t="s">
        <v>385</v>
      </c>
      <c r="B46" s="112">
        <v>0.15</v>
      </c>
      <c r="C46" s="48">
        <v>1</v>
      </c>
      <c r="D46" s="48">
        <v>2</v>
      </c>
      <c r="E46" s="48">
        <v>3</v>
      </c>
      <c r="F46" s="48">
        <v>4</v>
      </c>
      <c r="G46" s="48">
        <v>5</v>
      </c>
      <c r="H46" s="48">
        <v>6</v>
      </c>
      <c r="I46" s="48">
        <v>7</v>
      </c>
      <c r="J46" s="48">
        <v>8</v>
      </c>
    </row>
    <row r="47" spans="1:10" s="60" customFormat="1" x14ac:dyDescent="0.35">
      <c r="A47" s="11" t="s">
        <v>382</v>
      </c>
      <c r="B47" s="110"/>
      <c r="C47" s="24">
        <f>($C$25-$C$25*5.5%)*C46</f>
        <v>0</v>
      </c>
      <c r="D47" s="24">
        <f>($C$25-$C$25*5.5%)*D46</f>
        <v>0</v>
      </c>
      <c r="E47" s="24">
        <f t="shared" ref="E47:J47" si="9">($C$25-$C$25*5.5%)*E46</f>
        <v>0</v>
      </c>
      <c r="F47" s="24">
        <f t="shared" si="9"/>
        <v>0</v>
      </c>
      <c r="G47" s="24">
        <f t="shared" si="9"/>
        <v>0</v>
      </c>
      <c r="H47" s="24">
        <f t="shared" si="9"/>
        <v>0</v>
      </c>
      <c r="I47" s="24">
        <f t="shared" si="9"/>
        <v>0</v>
      </c>
      <c r="J47" s="24">
        <f t="shared" si="9"/>
        <v>0</v>
      </c>
    </row>
    <row r="48" spans="1:10" s="60" customFormat="1" x14ac:dyDescent="0.35">
      <c r="A48" s="11" t="s">
        <v>281</v>
      </c>
      <c r="B48" s="16"/>
      <c r="C48" s="115">
        <f>C47*$B$46</f>
        <v>0</v>
      </c>
      <c r="D48" s="115">
        <f t="shared" ref="D48:J48" si="10">D47*$B$46</f>
        <v>0</v>
      </c>
      <c r="E48" s="115">
        <f t="shared" si="10"/>
        <v>0</v>
      </c>
      <c r="F48" s="115">
        <f t="shared" si="10"/>
        <v>0</v>
      </c>
      <c r="G48" s="115">
        <f t="shared" si="10"/>
        <v>0</v>
      </c>
      <c r="H48" s="115">
        <f t="shared" si="10"/>
        <v>0</v>
      </c>
      <c r="I48" s="115">
        <f t="shared" si="10"/>
        <v>0</v>
      </c>
      <c r="J48" s="115">
        <f t="shared" si="10"/>
        <v>0</v>
      </c>
    </row>
    <row r="49" spans="1:10" s="60" customFormat="1" x14ac:dyDescent="0.35">
      <c r="B49" s="57"/>
      <c r="C49" s="114"/>
      <c r="D49" s="114"/>
      <c r="E49" s="114"/>
      <c r="F49" s="114"/>
      <c r="G49" s="114"/>
      <c r="H49" s="114"/>
      <c r="I49" s="114"/>
      <c r="J49" s="114"/>
    </row>
    <row r="50" spans="1:10" s="60" customFormat="1" ht="43.5" x14ac:dyDescent="0.35">
      <c r="A50" s="109" t="s">
        <v>394</v>
      </c>
      <c r="B50" s="112">
        <v>0.1</v>
      </c>
      <c r="C50" s="48">
        <v>1</v>
      </c>
      <c r="D50" s="48">
        <v>2</v>
      </c>
      <c r="E50" s="48">
        <v>3</v>
      </c>
      <c r="F50" s="48">
        <v>4</v>
      </c>
      <c r="G50" s="48">
        <v>5</v>
      </c>
      <c r="H50" s="48">
        <v>6</v>
      </c>
      <c r="I50" s="48">
        <v>7</v>
      </c>
      <c r="J50" s="48">
        <v>8</v>
      </c>
    </row>
    <row r="51" spans="1:10" s="60" customFormat="1" x14ac:dyDescent="0.35">
      <c r="A51" s="11" t="s">
        <v>382</v>
      </c>
      <c r="B51" s="16"/>
      <c r="C51" s="24">
        <f>($C$25-$C$25*5.5%)*C50</f>
        <v>0</v>
      </c>
      <c r="D51" s="24">
        <f>($C$25-$C$25*5.5%)*D50</f>
        <v>0</v>
      </c>
      <c r="E51" s="24">
        <f t="shared" ref="E51:J51" si="11">($C$25-$C$25*5.5%)*E50</f>
        <v>0</v>
      </c>
      <c r="F51" s="24">
        <f t="shared" si="11"/>
        <v>0</v>
      </c>
      <c r="G51" s="24">
        <f t="shared" si="11"/>
        <v>0</v>
      </c>
      <c r="H51" s="24">
        <f t="shared" si="11"/>
        <v>0</v>
      </c>
      <c r="I51" s="24">
        <f t="shared" si="11"/>
        <v>0</v>
      </c>
      <c r="J51" s="24">
        <f t="shared" si="11"/>
        <v>0</v>
      </c>
    </row>
    <row r="52" spans="1:10" s="60" customFormat="1" x14ac:dyDescent="0.35">
      <c r="A52" s="11" t="s">
        <v>386</v>
      </c>
      <c r="B52" s="16"/>
      <c r="C52" s="113">
        <f>C51*$B$50</f>
        <v>0</v>
      </c>
      <c r="D52" s="113">
        <f t="shared" ref="D52:J52" si="12">D51*$B$50</f>
        <v>0</v>
      </c>
      <c r="E52" s="113">
        <f t="shared" si="12"/>
        <v>0</v>
      </c>
      <c r="F52" s="113">
        <f t="shared" si="12"/>
        <v>0</v>
      </c>
      <c r="G52" s="113">
        <f t="shared" si="12"/>
        <v>0</v>
      </c>
      <c r="H52" s="113">
        <f t="shared" si="12"/>
        <v>0</v>
      </c>
      <c r="I52" s="113">
        <f t="shared" si="12"/>
        <v>0</v>
      </c>
      <c r="J52" s="113">
        <f t="shared" si="12"/>
        <v>0</v>
      </c>
    </row>
    <row r="53" spans="1:10" s="60" customFormat="1" x14ac:dyDescent="0.35">
      <c r="A53" s="11" t="s">
        <v>387</v>
      </c>
      <c r="B53" s="16"/>
      <c r="C53" s="113">
        <f>C42-C52</f>
        <v>1</v>
      </c>
      <c r="D53" s="113">
        <f t="shared" ref="D53:J53" si="13">D42-D52</f>
        <v>2</v>
      </c>
      <c r="E53" s="113">
        <f t="shared" si="13"/>
        <v>3</v>
      </c>
      <c r="F53" s="113">
        <f>F42-F52</f>
        <v>4</v>
      </c>
      <c r="G53" s="113">
        <f t="shared" si="13"/>
        <v>5</v>
      </c>
      <c r="H53" s="113">
        <f t="shared" si="13"/>
        <v>6</v>
      </c>
      <c r="I53" s="113">
        <f t="shared" si="13"/>
        <v>7</v>
      </c>
      <c r="J53" s="113">
        <f t="shared" si="13"/>
        <v>8</v>
      </c>
    </row>
    <row r="55" spans="1:10" x14ac:dyDescent="0.35">
      <c r="A55" s="68" t="s">
        <v>416</v>
      </c>
      <c r="B55" s="67"/>
      <c r="C55" s="67"/>
      <c r="D55" s="67"/>
      <c r="E55" s="67"/>
      <c r="F55" s="67"/>
      <c r="G55" s="67"/>
      <c r="H55" s="67"/>
      <c r="I55" s="67"/>
      <c r="J55" s="67"/>
    </row>
    <row r="57" spans="1:10" x14ac:dyDescent="0.35">
      <c r="A57" s="117" t="s">
        <v>389</v>
      </c>
      <c r="B57" s="118"/>
    </row>
    <row r="58" spans="1:10" x14ac:dyDescent="0.35">
      <c r="A58" s="116" t="s">
        <v>393</v>
      </c>
      <c r="B58" s="145">
        <f>J48</f>
        <v>0</v>
      </c>
    </row>
    <row r="59" spans="1:10" x14ac:dyDescent="0.35">
      <c r="A59" s="42" t="s">
        <v>392</v>
      </c>
      <c r="B59" s="24">
        <f>F37</f>
        <v>4</v>
      </c>
    </row>
    <row r="60" spans="1:10" x14ac:dyDescent="0.35">
      <c r="A60" s="120" t="s">
        <v>48</v>
      </c>
      <c r="B60" s="34">
        <f>SUM(B58:B59)</f>
        <v>4</v>
      </c>
    </row>
    <row r="62" spans="1:10" x14ac:dyDescent="0.35">
      <c r="A62" s="117" t="s">
        <v>390</v>
      </c>
      <c r="B62" s="118"/>
    </row>
    <row r="63" spans="1:10" x14ac:dyDescent="0.35">
      <c r="A63" s="116" t="s">
        <v>393</v>
      </c>
      <c r="B63" s="145">
        <f>J48</f>
        <v>0</v>
      </c>
    </row>
    <row r="64" spans="1:10" x14ac:dyDescent="0.35">
      <c r="A64" s="42" t="s">
        <v>392</v>
      </c>
      <c r="B64" s="24">
        <f>F53</f>
        <v>4</v>
      </c>
    </row>
    <row r="65" spans="1:10" x14ac:dyDescent="0.35">
      <c r="A65" s="120" t="s">
        <v>48</v>
      </c>
      <c r="B65" s="34">
        <f>SUM(B63:B64)</f>
        <v>4</v>
      </c>
    </row>
    <row r="67" spans="1:10" x14ac:dyDescent="0.35">
      <c r="A67" s="68" t="s">
        <v>422</v>
      </c>
      <c r="B67" s="67"/>
      <c r="C67" s="67"/>
      <c r="D67" s="67"/>
      <c r="E67" s="67"/>
      <c r="F67" s="67"/>
      <c r="G67" s="67"/>
      <c r="H67" s="67"/>
      <c r="I67" s="67"/>
      <c r="J67" s="67"/>
    </row>
    <row r="69" spans="1:10" x14ac:dyDescent="0.35">
      <c r="A69" s="117" t="s">
        <v>389</v>
      </c>
      <c r="B69" s="118"/>
    </row>
    <row r="70" spans="1:10" x14ac:dyDescent="0.35">
      <c r="A70" s="42" t="s">
        <v>405</v>
      </c>
      <c r="B70" s="24">
        <f>D25</f>
        <v>0</v>
      </c>
    </row>
    <row r="71" spans="1:10" x14ac:dyDescent="0.35">
      <c r="A71" s="116" t="s">
        <v>393</v>
      </c>
      <c r="B71" s="145">
        <f>0-J48</f>
        <v>0</v>
      </c>
    </row>
    <row r="72" spans="1:10" x14ac:dyDescent="0.35">
      <c r="A72" s="120" t="s">
        <v>48</v>
      </c>
      <c r="B72" s="34">
        <f>SUM(B70:B71)</f>
        <v>0</v>
      </c>
    </row>
    <row r="74" spans="1:10" x14ac:dyDescent="0.35">
      <c r="A74" s="133" t="s">
        <v>390</v>
      </c>
      <c r="B74" s="134"/>
    </row>
    <row r="75" spans="1:10" x14ac:dyDescent="0.35">
      <c r="A75" s="42" t="s">
        <v>405</v>
      </c>
      <c r="B75" s="24">
        <f>D25</f>
        <v>0</v>
      </c>
    </row>
    <row r="76" spans="1:10" x14ac:dyDescent="0.35">
      <c r="A76" s="42" t="s">
        <v>393</v>
      </c>
      <c r="B76" s="24">
        <f>0-J48</f>
        <v>0</v>
      </c>
    </row>
    <row r="77" spans="1:10" x14ac:dyDescent="0.35">
      <c r="A77" s="42" t="s">
        <v>406</v>
      </c>
      <c r="B77" s="24">
        <f>F52</f>
        <v>0</v>
      </c>
    </row>
    <row r="78" spans="1:10" x14ac:dyDescent="0.35">
      <c r="A78" s="120" t="s">
        <v>48</v>
      </c>
      <c r="B78" s="34">
        <f>SUM(B75:B77)</f>
        <v>0</v>
      </c>
    </row>
    <row r="79" spans="1:10" s="40" customFormat="1" x14ac:dyDescent="0.35">
      <c r="A79" s="121"/>
      <c r="B79" s="122"/>
    </row>
    <row r="80" spans="1:10" s="40" customFormat="1" x14ac:dyDescent="0.35">
      <c r="A80" s="121"/>
      <c r="B80" s="122"/>
    </row>
    <row r="81" spans="1:2" s="40" customFormat="1" x14ac:dyDescent="0.35">
      <c r="A81" s="37" t="s">
        <v>96</v>
      </c>
      <c r="B81" s="122"/>
    </row>
    <row r="82" spans="1:2" s="40" customFormat="1" x14ac:dyDescent="0.35">
      <c r="A82" s="121"/>
      <c r="B82" s="122"/>
    </row>
    <row r="83" spans="1:2" x14ac:dyDescent="0.35">
      <c r="A83" s="2" t="s">
        <v>67</v>
      </c>
      <c r="B83" s="7"/>
    </row>
    <row r="84" spans="1:2" x14ac:dyDescent="0.35">
      <c r="A84" s="7" t="s">
        <v>116</v>
      </c>
      <c r="B84" s="7"/>
    </row>
    <row r="85" spans="1:2" x14ac:dyDescent="0.35">
      <c r="A85" s="7" t="s">
        <v>140</v>
      </c>
      <c r="B85" s="7"/>
    </row>
    <row r="87" spans="1:2" x14ac:dyDescent="0.35">
      <c r="A87" s="39" t="s">
        <v>115</v>
      </c>
      <c r="B87" s="40"/>
    </row>
  </sheetData>
  <conditionalFormatting sqref="C41:J41">
    <cfRule type="cellIs" dxfId="192" priority="7" operator="greaterThanOrEqual">
      <formula>1</formula>
    </cfRule>
    <cfRule type="cellIs" dxfId="191" priority="8" operator="between">
      <formula>0.5</formula>
      <formula>1</formula>
    </cfRule>
  </conditionalFormatting>
  <conditionalFormatting sqref="C42:J42">
    <cfRule type="cellIs" dxfId="190" priority="5" operator="between">
      <formula>2</formula>
      <formula>4</formula>
    </cfRule>
    <cfRule type="cellIs" dxfId="189" priority="6" operator="greaterThanOrEqual">
      <formula>4</formula>
    </cfRule>
  </conditionalFormatting>
  <conditionalFormatting sqref="C52:J52">
    <cfRule type="cellIs" dxfId="188" priority="4" operator="greaterThanOrEqual">
      <formula>$J$48</formula>
    </cfRule>
  </conditionalFormatting>
  <conditionalFormatting sqref="C53:J53">
    <cfRule type="cellIs" dxfId="187" priority="2" operator="between">
      <formula>2</formula>
      <formula>4</formula>
    </cfRule>
    <cfRule type="cellIs" dxfId="186" priority="3" operator="greaterThanOrEqual">
      <formula>4</formula>
    </cfRule>
  </conditionalFormatting>
  <conditionalFormatting sqref="C48:J48">
    <cfRule type="cellIs" dxfId="185" priority="1" operator="greaterThanOrEqual">
      <formula>0.5</formula>
    </cfRule>
  </conditionalFormatting>
  <dataValidations count="1">
    <dataValidation type="list" allowBlank="1" showInputMessage="1" showErrorMessage="1" sqref="F6 A6:A15">
      <formula1>Ingrédients_recettes</formula1>
    </dataValidation>
  </dataValidations>
  <pageMargins left="0.7" right="0.7" top="0.75" bottom="0.75" header="0.3" footer="0.3"/>
  <pageSetup paperSize="9" scale="59" orientation="portrait" horizontalDpi="4294967293" verticalDpi="4294967293"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8"/>
  <sheetViews>
    <sheetView topLeftCell="A11" workbookViewId="0">
      <selection activeCell="B14" sqref="B14"/>
    </sheetView>
  </sheetViews>
  <sheetFormatPr baseColWidth="10" defaultRowHeight="14.5" x14ac:dyDescent="0.35"/>
  <cols>
    <col min="1" max="1" width="34.1796875" customWidth="1"/>
    <col min="2" max="2" width="14.6328125" bestFit="1" customWidth="1"/>
    <col min="3" max="3" width="13.1796875" bestFit="1" customWidth="1"/>
    <col min="4" max="4" width="14.36328125" bestFit="1" customWidth="1"/>
    <col min="5" max="5" width="10.1796875" bestFit="1" customWidth="1"/>
    <col min="6" max="6" width="12" customWidth="1"/>
    <col min="7" max="7" width="9.81640625" customWidth="1"/>
    <col min="8" max="8" width="10.90625" customWidth="1"/>
  </cols>
  <sheetData>
    <row r="1" spans="1:9" x14ac:dyDescent="0.35">
      <c r="A1" s="103" t="s">
        <v>424</v>
      </c>
      <c r="B1" s="104"/>
      <c r="C1" s="104"/>
      <c r="D1" s="104"/>
      <c r="E1" s="104"/>
      <c r="F1" s="104"/>
      <c r="G1" s="104"/>
      <c r="H1" s="63"/>
    </row>
    <row r="2" spans="1:9" s="38" customFormat="1" x14ac:dyDescent="0.35">
      <c r="A2" s="73"/>
      <c r="B2" s="74"/>
      <c r="C2" s="74"/>
      <c r="D2" s="74"/>
      <c r="E2" s="74"/>
      <c r="F2" s="74"/>
      <c r="G2" s="74"/>
    </row>
    <row r="3" spans="1:9" s="38" customFormat="1" x14ac:dyDescent="0.35">
      <c r="A3" s="68" t="s">
        <v>276</v>
      </c>
      <c r="B3" s="75"/>
      <c r="C3" s="75"/>
      <c r="D3" s="75"/>
      <c r="E3" s="75"/>
      <c r="F3" s="75"/>
      <c r="G3" s="75"/>
      <c r="H3" s="67"/>
    </row>
    <row r="5" spans="1:9" x14ac:dyDescent="0.35">
      <c r="A5" s="2" t="s">
        <v>68</v>
      </c>
      <c r="B5" s="2" t="s">
        <v>41</v>
      </c>
      <c r="C5" s="2" t="s">
        <v>42</v>
      </c>
      <c r="D5" s="2" t="s">
        <v>40</v>
      </c>
    </row>
    <row r="6" spans="1:9" x14ac:dyDescent="0.35">
      <c r="A6" s="7" t="s">
        <v>434</v>
      </c>
      <c r="B6" s="4">
        <v>1.3720000000000001</v>
      </c>
      <c r="C6" s="31">
        <f t="shared" ref="C6:C15" si="0">IF(ISERROR(VLOOKUP(A6,Tableau_produits,6,FALSE)),0,VLOOKUP(A6,Tableau_produits,6,FALSE))</f>
        <v>14.300291545189504</v>
      </c>
      <c r="D6" s="32">
        <f>C6*B6</f>
        <v>19.62</v>
      </c>
      <c r="E6" s="88"/>
      <c r="F6" t="s">
        <v>457</v>
      </c>
      <c r="H6" s="89"/>
    </row>
    <row r="7" spans="1:9" x14ac:dyDescent="0.35">
      <c r="A7" s="7" t="s">
        <v>435</v>
      </c>
      <c r="B7" s="4">
        <v>0.1</v>
      </c>
      <c r="C7" s="31">
        <f t="shared" si="0"/>
        <v>13.32</v>
      </c>
      <c r="D7" s="32">
        <f>C7*B7</f>
        <v>1.3320000000000001</v>
      </c>
      <c r="I7" s="89"/>
    </row>
    <row r="8" spans="1:9" x14ac:dyDescent="0.35">
      <c r="A8" s="7" t="s">
        <v>516</v>
      </c>
      <c r="B8" s="4">
        <v>0.159</v>
      </c>
      <c r="C8" s="31">
        <f t="shared" si="0"/>
        <v>3.2584269662921348</v>
      </c>
      <c r="D8" s="32">
        <f t="shared" ref="D8:D15" si="1">C8*B8</f>
        <v>0.51808988764044939</v>
      </c>
      <c r="I8" s="89"/>
    </row>
    <row r="9" spans="1:9" x14ac:dyDescent="0.35">
      <c r="A9" s="7" t="s">
        <v>133</v>
      </c>
      <c r="B9" s="4">
        <v>1.0999999999999999E-2</v>
      </c>
      <c r="C9" s="31">
        <f t="shared" si="0"/>
        <v>6.8</v>
      </c>
      <c r="D9" s="32">
        <f t="shared" si="1"/>
        <v>7.4799999999999991E-2</v>
      </c>
      <c r="I9" s="89"/>
    </row>
    <row r="10" spans="1:9" x14ac:dyDescent="0.35">
      <c r="A10" s="7" t="s">
        <v>436</v>
      </c>
      <c r="B10" s="86">
        <f>0.155*2</f>
        <v>0.31</v>
      </c>
      <c r="C10" s="31">
        <f t="shared" si="0"/>
        <v>3</v>
      </c>
      <c r="D10" s="32">
        <f t="shared" si="1"/>
        <v>0.92999999999999994</v>
      </c>
      <c r="I10" s="40"/>
    </row>
    <row r="11" spans="1:9" x14ac:dyDescent="0.35">
      <c r="A11" s="7" t="s">
        <v>444</v>
      </c>
      <c r="B11" s="86">
        <v>5.0000000000000001E-4</v>
      </c>
      <c r="C11" s="31">
        <f t="shared" si="0"/>
        <v>86.25</v>
      </c>
      <c r="D11" s="32">
        <f t="shared" si="1"/>
        <v>4.3125000000000004E-2</v>
      </c>
    </row>
    <row r="12" spans="1:9" x14ac:dyDescent="0.35">
      <c r="A12" s="7" t="s">
        <v>445</v>
      </c>
      <c r="B12" s="86">
        <v>5.0000000000000001E-4</v>
      </c>
      <c r="C12" s="31">
        <f t="shared" si="0"/>
        <v>87.142857142857125</v>
      </c>
      <c r="D12" s="33">
        <f t="shared" si="1"/>
        <v>4.3571428571428567E-2</v>
      </c>
    </row>
    <row r="13" spans="1:9" x14ac:dyDescent="0.35">
      <c r="A13" s="7" t="s">
        <v>446</v>
      </c>
      <c r="B13" s="86">
        <v>5.0000000000000001E-4</v>
      </c>
      <c r="C13" s="31">
        <f t="shared" si="0"/>
        <v>62.857142857142854</v>
      </c>
      <c r="D13" s="33">
        <f t="shared" si="1"/>
        <v>3.1428571428571431E-2</v>
      </c>
    </row>
    <row r="14" spans="1:9" x14ac:dyDescent="0.35">
      <c r="A14" s="7" t="s">
        <v>447</v>
      </c>
      <c r="B14" s="86">
        <v>5.0000000000000001E-4</v>
      </c>
      <c r="C14" s="31">
        <f t="shared" si="0"/>
        <v>71.25</v>
      </c>
      <c r="D14" s="33">
        <f t="shared" si="1"/>
        <v>3.5625000000000004E-2</v>
      </c>
    </row>
    <row r="15" spans="1:9" x14ac:dyDescent="0.35">
      <c r="A15" s="7" t="s">
        <v>448</v>
      </c>
      <c r="B15" s="86">
        <v>1E-4</v>
      </c>
      <c r="C15" s="31">
        <f t="shared" si="0"/>
        <v>14250</v>
      </c>
      <c r="D15" s="33">
        <f t="shared" si="1"/>
        <v>1.425</v>
      </c>
    </row>
    <row r="16" spans="1:9" x14ac:dyDescent="0.35">
      <c r="A16" s="7" t="s">
        <v>449</v>
      </c>
      <c r="B16" s="86">
        <v>0.01</v>
      </c>
      <c r="C16" s="31">
        <f t="shared" ref="C16:C25" si="2">IF(ISERROR(VLOOKUP(A16,Tableau_produits,6,FALSE)),0,VLOOKUP(A16,Tableau_produits,6,FALSE))</f>
        <v>6.6000000000000005</v>
      </c>
      <c r="D16" s="33">
        <f t="shared" ref="D16:D25" si="3">C16*B16</f>
        <v>6.6000000000000003E-2</v>
      </c>
    </row>
    <row r="17" spans="1:8" x14ac:dyDescent="0.35">
      <c r="A17" s="7" t="s">
        <v>451</v>
      </c>
      <c r="B17" s="86">
        <v>0.25</v>
      </c>
      <c r="C17" s="31">
        <f t="shared" si="2"/>
        <v>7.76</v>
      </c>
      <c r="D17" s="33">
        <f t="shared" si="3"/>
        <v>1.94</v>
      </c>
    </row>
    <row r="18" spans="1:8" x14ac:dyDescent="0.35">
      <c r="A18" s="7" t="s">
        <v>452</v>
      </c>
      <c r="B18" s="86">
        <v>0.01</v>
      </c>
      <c r="C18" s="31">
        <f t="shared" si="2"/>
        <v>24.833333333333336</v>
      </c>
      <c r="D18" s="33">
        <f t="shared" si="3"/>
        <v>0.24833333333333335</v>
      </c>
    </row>
    <row r="19" spans="1:8" x14ac:dyDescent="0.35">
      <c r="A19" s="7" t="s">
        <v>453</v>
      </c>
      <c r="B19" s="86">
        <v>1</v>
      </c>
      <c r="C19" s="31">
        <f t="shared" si="2"/>
        <v>0</v>
      </c>
      <c r="D19" s="33">
        <f t="shared" si="3"/>
        <v>0</v>
      </c>
    </row>
    <row r="20" spans="1:8" x14ac:dyDescent="0.35">
      <c r="A20" s="7" t="s">
        <v>454</v>
      </c>
      <c r="B20" s="86">
        <v>0.03</v>
      </c>
      <c r="C20" s="31">
        <f t="shared" si="2"/>
        <v>32.4</v>
      </c>
      <c r="D20" s="33">
        <f t="shared" si="3"/>
        <v>0.97199999999999998</v>
      </c>
    </row>
    <row r="21" spans="1:8" x14ac:dyDescent="0.35">
      <c r="A21" s="7" t="s">
        <v>435</v>
      </c>
      <c r="B21" s="86">
        <v>0.1</v>
      </c>
      <c r="C21" s="31">
        <f t="shared" si="2"/>
        <v>13.32</v>
      </c>
      <c r="D21" s="33">
        <f t="shared" si="3"/>
        <v>1.3320000000000001</v>
      </c>
    </row>
    <row r="22" spans="1:8" x14ac:dyDescent="0.35">
      <c r="A22" s="7" t="s">
        <v>111</v>
      </c>
      <c r="B22" s="10">
        <f>0.001</f>
        <v>1E-3</v>
      </c>
      <c r="C22" s="31">
        <f t="shared" ref="C22:C23" si="4">IF(ISERROR(VLOOKUP(A22,Tableau_produits,6,FALSE)),0,VLOOKUP(A22,Tableau_produits,6,FALSE))</f>
        <v>4.9800000000000004</v>
      </c>
      <c r="D22" s="33">
        <f t="shared" ref="D22:D23" si="5">C22*B22</f>
        <v>4.9800000000000009E-3</v>
      </c>
    </row>
    <row r="23" spans="1:8" x14ac:dyDescent="0.35">
      <c r="A23" s="7" t="s">
        <v>136</v>
      </c>
      <c r="B23" s="10">
        <f>0.0005</f>
        <v>5.0000000000000001E-4</v>
      </c>
      <c r="C23" s="31">
        <f t="shared" si="4"/>
        <v>94.199999999999989</v>
      </c>
      <c r="D23" s="33">
        <f t="shared" si="5"/>
        <v>4.7099999999999996E-2</v>
      </c>
    </row>
    <row r="24" spans="1:8" x14ac:dyDescent="0.35">
      <c r="A24" s="7" t="s">
        <v>108</v>
      </c>
      <c r="B24" s="86">
        <f>0.01*4</f>
        <v>0.04</v>
      </c>
      <c r="C24" s="31">
        <f t="shared" ref="C24" si="6">IF(ISERROR(VLOOKUP(A24,Tableau_produits,6,FALSE)),0,VLOOKUP(A24,Tableau_produits,6,FALSE))</f>
        <v>7.8533333333333326</v>
      </c>
      <c r="D24" s="33">
        <f t="shared" ref="D24" si="7">C24*B24</f>
        <v>0.31413333333333332</v>
      </c>
    </row>
    <row r="25" spans="1:8" x14ac:dyDescent="0.35">
      <c r="A25" s="7" t="s">
        <v>455</v>
      </c>
      <c r="B25" s="86">
        <f>0.07*4</f>
        <v>0.28000000000000003</v>
      </c>
      <c r="C25" s="31">
        <f t="shared" si="2"/>
        <v>7.76</v>
      </c>
      <c r="D25" s="33">
        <f t="shared" si="3"/>
        <v>2.1728000000000001</v>
      </c>
    </row>
    <row r="26" spans="1:8" x14ac:dyDescent="0.35">
      <c r="A26" s="13" t="s">
        <v>48</v>
      </c>
      <c r="B26" s="13"/>
      <c r="C26" s="13"/>
      <c r="D26" s="34">
        <f>SUM(D6:D25)</f>
        <v>31.150986554307121</v>
      </c>
    </row>
    <row r="27" spans="1:8" x14ac:dyDescent="0.35">
      <c r="A27" s="34" t="str">
        <f>"Coût par portion ("&amp;ROUND(C30*1000,0)&amp;"g)"</f>
        <v>Coût par portion (0g)</v>
      </c>
      <c r="B27" s="13"/>
      <c r="C27" s="13"/>
      <c r="D27" s="34">
        <f>IF(E30=0,0,D26/E30)</f>
        <v>7.7877466385767802</v>
      </c>
    </row>
    <row r="29" spans="1:8" ht="43.5" x14ac:dyDescent="0.35">
      <c r="A29" s="2" t="s">
        <v>90</v>
      </c>
      <c r="B29" s="28" t="s">
        <v>91</v>
      </c>
      <c r="C29" s="28" t="s">
        <v>94</v>
      </c>
      <c r="D29" s="28" t="s">
        <v>92</v>
      </c>
      <c r="E29" s="28" t="s">
        <v>95</v>
      </c>
    </row>
    <row r="30" spans="1:8" x14ac:dyDescent="0.35">
      <c r="A30" s="7" t="s">
        <v>93</v>
      </c>
      <c r="B30" s="7"/>
      <c r="C30" s="7">
        <v>0</v>
      </c>
      <c r="D30" s="30">
        <v>4</v>
      </c>
      <c r="E30" s="35">
        <f>TRUNC(D30)</f>
        <v>4</v>
      </c>
    </row>
    <row r="31" spans="1:8" s="38" customFormat="1" x14ac:dyDescent="0.35">
      <c r="A31" s="60"/>
      <c r="B31" s="60"/>
      <c r="C31" s="60"/>
      <c r="D31" s="64"/>
      <c r="E31" s="60"/>
    </row>
    <row r="32" spans="1:8" s="38" customFormat="1" x14ac:dyDescent="0.35">
      <c r="A32" s="71" t="s">
        <v>277</v>
      </c>
      <c r="B32" s="69"/>
      <c r="C32" s="69"/>
      <c r="D32" s="70"/>
      <c r="E32" s="69"/>
      <c r="F32" s="67"/>
      <c r="G32" s="67"/>
      <c r="H32" s="67"/>
    </row>
    <row r="33" spans="1:10" s="38" customFormat="1" x14ac:dyDescent="0.35">
      <c r="A33" s="60"/>
      <c r="B33" s="60"/>
      <c r="C33" s="60"/>
      <c r="D33" s="64"/>
      <c r="E33" s="60"/>
    </row>
    <row r="34" spans="1:10" s="38" customFormat="1" x14ac:dyDescent="0.35">
      <c r="A34" s="16" t="s">
        <v>274</v>
      </c>
      <c r="B34" s="2" t="s">
        <v>267</v>
      </c>
      <c r="C34" s="2" t="s">
        <v>268</v>
      </c>
      <c r="D34" s="2" t="s">
        <v>269</v>
      </c>
      <c r="E34"/>
    </row>
    <row r="35" spans="1:10" s="38" customFormat="1" x14ac:dyDescent="0.35">
      <c r="A35" s="7" t="s">
        <v>270</v>
      </c>
      <c r="B35" s="78">
        <v>8</v>
      </c>
      <c r="C35" s="24">
        <f>D27</f>
        <v>7.7877466385767802</v>
      </c>
      <c r="D35" s="35">
        <f>C35*B35</f>
        <v>62.301973108614241</v>
      </c>
      <c r="E35"/>
      <c r="G35" s="144"/>
    </row>
    <row r="36" spans="1:10" s="38" customFormat="1" x14ac:dyDescent="0.35">
      <c r="A36" s="7" t="s">
        <v>271</v>
      </c>
      <c r="B36" s="78">
        <v>4</v>
      </c>
      <c r="C36" s="24">
        <f>C35</f>
        <v>7.7877466385767802</v>
      </c>
      <c r="D36" s="35">
        <f>C36*B36</f>
        <v>31.150986554307121</v>
      </c>
      <c r="E36"/>
      <c r="F36"/>
    </row>
    <row r="37" spans="1:10" s="38" customFormat="1" x14ac:dyDescent="0.35">
      <c r="A37" s="7" t="s">
        <v>272</v>
      </c>
      <c r="B37" s="35">
        <f>B35-B36</f>
        <v>4</v>
      </c>
      <c r="C37" s="66">
        <f>(D37/B37)*90%</f>
        <v>14.017943949438205</v>
      </c>
      <c r="D37" s="35">
        <f>D35</f>
        <v>62.301973108614241</v>
      </c>
      <c r="E37"/>
      <c r="F37" s="83"/>
      <c r="G37"/>
      <c r="H37"/>
    </row>
    <row r="38" spans="1:10" s="38" customFormat="1" x14ac:dyDescent="0.35">
      <c r="A38" s="60"/>
      <c r="B38" s="60"/>
      <c r="C38" s="60"/>
      <c r="D38" s="64"/>
      <c r="E38" s="60"/>
    </row>
    <row r="39" spans="1:10" x14ac:dyDescent="0.35">
      <c r="A39" s="16" t="s">
        <v>275</v>
      </c>
      <c r="B39" s="50" t="s">
        <v>235</v>
      </c>
      <c r="C39" s="45">
        <v>1</v>
      </c>
      <c r="D39" s="45">
        <v>2</v>
      </c>
      <c r="E39" s="45">
        <v>3</v>
      </c>
      <c r="F39" s="45">
        <v>4</v>
      </c>
      <c r="G39" s="46">
        <v>5</v>
      </c>
      <c r="H39" s="46">
        <v>6</v>
      </c>
      <c r="I39" s="46">
        <v>7</v>
      </c>
      <c r="J39" s="46">
        <v>8</v>
      </c>
    </row>
    <row r="40" spans="1:10" x14ac:dyDescent="0.35">
      <c r="A40" s="17" t="s">
        <v>51</v>
      </c>
      <c r="B40" s="53"/>
      <c r="C40" s="24">
        <f>$C$37*C39</f>
        <v>14.017943949438205</v>
      </c>
      <c r="D40" s="24">
        <f>$C$37*D39</f>
        <v>28.03588789887641</v>
      </c>
      <c r="E40" s="24">
        <f t="shared" ref="E40:J40" si="8">$C$37*E39</f>
        <v>42.053831848314616</v>
      </c>
      <c r="F40" s="24">
        <f t="shared" si="8"/>
        <v>56.071775797752821</v>
      </c>
      <c r="G40" s="24">
        <f t="shared" si="8"/>
        <v>70.089719747191026</v>
      </c>
      <c r="H40" s="24">
        <f t="shared" si="8"/>
        <v>84.107663696629231</v>
      </c>
      <c r="I40" s="24">
        <f t="shared" si="8"/>
        <v>98.125607646067436</v>
      </c>
      <c r="J40" s="24">
        <f t="shared" si="8"/>
        <v>112.14355159550564</v>
      </c>
    </row>
    <row r="41" spans="1:10" x14ac:dyDescent="0.35">
      <c r="A41" s="16" t="s">
        <v>391</v>
      </c>
      <c r="B41" s="54">
        <v>1</v>
      </c>
      <c r="C41" s="24">
        <f>(($C$40+$B$41)+$C$62)*C39</f>
        <v>15.753886006783711</v>
      </c>
      <c r="D41" s="24">
        <f t="shared" ref="D41:J41" si="9">(($C$40+$B$41)+$C$62)*D39</f>
        <v>31.507772013567422</v>
      </c>
      <c r="E41" s="24">
        <f t="shared" si="9"/>
        <v>47.261658020351135</v>
      </c>
      <c r="F41" s="24">
        <f t="shared" si="9"/>
        <v>63.015544027134844</v>
      </c>
      <c r="G41" s="24">
        <f t="shared" si="9"/>
        <v>78.769430033918553</v>
      </c>
      <c r="H41" s="24">
        <f t="shared" si="9"/>
        <v>94.523316040702269</v>
      </c>
      <c r="I41" s="24">
        <f t="shared" si="9"/>
        <v>110.27720204748597</v>
      </c>
      <c r="J41" s="24">
        <f t="shared" si="9"/>
        <v>126.03108805426969</v>
      </c>
    </row>
    <row r="42" spans="1:10" x14ac:dyDescent="0.35">
      <c r="A42" s="55" t="s">
        <v>380</v>
      </c>
      <c r="B42" s="56"/>
      <c r="C42" s="34">
        <f>C41+(C41*5.5%)</f>
        <v>16.620349737156815</v>
      </c>
      <c r="D42" s="34">
        <f t="shared" ref="D42:J42" si="10">D41+(D41*5.5%)</f>
        <v>33.240699474313629</v>
      </c>
      <c r="E42" s="34">
        <f t="shared" si="10"/>
        <v>49.861049211470444</v>
      </c>
      <c r="F42" s="34">
        <f t="shared" si="10"/>
        <v>66.481398948627259</v>
      </c>
      <c r="G42" s="34">
        <f t="shared" si="10"/>
        <v>83.101748685784074</v>
      </c>
      <c r="H42" s="34">
        <f t="shared" si="10"/>
        <v>99.722098422940888</v>
      </c>
      <c r="I42" s="34">
        <f t="shared" si="10"/>
        <v>116.3424481600977</v>
      </c>
      <c r="J42" s="34">
        <f t="shared" si="10"/>
        <v>132.96279789725452</v>
      </c>
    </row>
    <row r="43" spans="1:10" s="38" customFormat="1" x14ac:dyDescent="0.35">
      <c r="A43" s="49" t="s">
        <v>233</v>
      </c>
      <c r="B43" s="15"/>
      <c r="C43" s="15"/>
      <c r="D43" s="15"/>
      <c r="E43" s="15"/>
      <c r="F43" s="15"/>
      <c r="G43" s="15"/>
    </row>
    <row r="44" spans="1:10" x14ac:dyDescent="0.35">
      <c r="A44" s="15"/>
      <c r="B44" s="14"/>
      <c r="C44" s="14"/>
      <c r="D44" s="14"/>
      <c r="E44" s="14"/>
    </row>
    <row r="45" spans="1:10" x14ac:dyDescent="0.35">
      <c r="A45" s="16" t="s">
        <v>388</v>
      </c>
      <c r="B45" s="56"/>
      <c r="C45" s="47">
        <v>1</v>
      </c>
      <c r="D45" s="47">
        <v>2</v>
      </c>
      <c r="E45" s="47">
        <v>3</v>
      </c>
      <c r="F45" s="47">
        <v>4</v>
      </c>
      <c r="G45" s="48">
        <v>5</v>
      </c>
      <c r="H45" s="48">
        <v>6</v>
      </c>
      <c r="I45" s="48">
        <v>7</v>
      </c>
      <c r="J45" s="48">
        <v>8</v>
      </c>
    </row>
    <row r="46" spans="1:10" x14ac:dyDescent="0.35">
      <c r="A46" s="17" t="s">
        <v>52</v>
      </c>
      <c r="B46" s="56"/>
      <c r="C46" s="24">
        <f>C40-($C$35*C45)</f>
        <v>6.230197310861425</v>
      </c>
      <c r="D46" s="24">
        <f t="shared" ref="D46:J46" si="11">D40-($C$35*D45)</f>
        <v>12.46039462172285</v>
      </c>
      <c r="E46" s="24">
        <f t="shared" si="11"/>
        <v>18.690591932584276</v>
      </c>
      <c r="F46" s="24">
        <f t="shared" si="11"/>
        <v>24.9207892434457</v>
      </c>
      <c r="G46" s="24">
        <f t="shared" si="11"/>
        <v>31.150986554307124</v>
      </c>
      <c r="H46" s="24">
        <f t="shared" si="11"/>
        <v>37.381183865168552</v>
      </c>
      <c r="I46" s="24">
        <f t="shared" si="11"/>
        <v>43.611381176029973</v>
      </c>
      <c r="J46" s="24">
        <f t="shared" si="11"/>
        <v>49.8415784868914</v>
      </c>
    </row>
    <row r="47" spans="1:10" x14ac:dyDescent="0.35">
      <c r="A47" s="17" t="s">
        <v>53</v>
      </c>
      <c r="B47" s="56"/>
      <c r="C47" s="24">
        <f>C41-C40</f>
        <v>1.7359420573455058</v>
      </c>
      <c r="D47" s="24">
        <f t="shared" ref="D47:J47" si="12">D41-D40</f>
        <v>3.4718841146910115</v>
      </c>
      <c r="E47" s="24">
        <f t="shared" si="12"/>
        <v>5.2078261720365191</v>
      </c>
      <c r="F47" s="24">
        <f t="shared" si="12"/>
        <v>6.9437682293820231</v>
      </c>
      <c r="G47" s="24">
        <f t="shared" si="12"/>
        <v>8.6797102867275271</v>
      </c>
      <c r="H47" s="24">
        <f t="shared" si="12"/>
        <v>10.415652344073038</v>
      </c>
      <c r="I47" s="24">
        <f t="shared" si="12"/>
        <v>12.151594401418535</v>
      </c>
      <c r="J47" s="24">
        <f t="shared" si="12"/>
        <v>13.887536458764046</v>
      </c>
    </row>
    <row r="48" spans="1:10" s="38" customFormat="1" x14ac:dyDescent="0.35">
      <c r="A48" s="49" t="s">
        <v>234</v>
      </c>
      <c r="B48" s="15"/>
      <c r="C48" s="15"/>
      <c r="D48" s="15"/>
      <c r="E48" s="15"/>
      <c r="F48" s="15"/>
    </row>
    <row r="50" spans="1:10" x14ac:dyDescent="0.35">
      <c r="A50" s="2" t="s">
        <v>236</v>
      </c>
      <c r="B50" s="56"/>
      <c r="C50" s="47">
        <v>1</v>
      </c>
      <c r="D50" s="47">
        <v>2</v>
      </c>
      <c r="E50" s="47">
        <v>3</v>
      </c>
      <c r="F50" s="47">
        <v>4</v>
      </c>
      <c r="G50" s="48">
        <v>5</v>
      </c>
      <c r="H50" s="48">
        <v>6</v>
      </c>
      <c r="I50" s="48">
        <v>7</v>
      </c>
      <c r="J50" s="48">
        <v>8</v>
      </c>
    </row>
    <row r="51" spans="1:10" x14ac:dyDescent="0.35">
      <c r="A51" s="7" t="s">
        <v>238</v>
      </c>
      <c r="B51" s="56"/>
      <c r="C51" s="59">
        <f>IF($D$35=0,0,(C40)/$D$35)</f>
        <v>0.22500000000000001</v>
      </c>
      <c r="D51" s="59">
        <f t="shared" ref="D51:J51" si="13">IF($D$35=0,0,(D40)/$D$35)</f>
        <v>0.45</v>
      </c>
      <c r="E51" s="59">
        <f t="shared" si="13"/>
        <v>0.67500000000000004</v>
      </c>
      <c r="F51" s="59">
        <f>IF($D$35=0,0,(F40)/$D$35)</f>
        <v>0.9</v>
      </c>
      <c r="G51" s="59">
        <f t="shared" si="13"/>
        <v>1.125</v>
      </c>
      <c r="H51" s="59">
        <f t="shared" si="13"/>
        <v>1.35</v>
      </c>
      <c r="I51" s="59">
        <f t="shared" si="13"/>
        <v>1.5750000000000002</v>
      </c>
      <c r="J51" s="59">
        <f t="shared" si="13"/>
        <v>1.8</v>
      </c>
    </row>
    <row r="52" spans="1:10" x14ac:dyDescent="0.35">
      <c r="A52" s="7" t="s">
        <v>383</v>
      </c>
      <c r="B52" s="56"/>
      <c r="C52" s="24">
        <f>C47</f>
        <v>1.7359420573455058</v>
      </c>
      <c r="D52" s="24">
        <f t="shared" ref="D52:J52" si="14">D47</f>
        <v>3.4718841146910115</v>
      </c>
      <c r="E52" s="24">
        <f t="shared" si="14"/>
        <v>5.2078261720365191</v>
      </c>
      <c r="F52" s="24">
        <f t="shared" si="14"/>
        <v>6.9437682293820231</v>
      </c>
      <c r="G52" s="24">
        <f t="shared" si="14"/>
        <v>8.6797102867275271</v>
      </c>
      <c r="H52" s="24">
        <f t="shared" si="14"/>
        <v>10.415652344073038</v>
      </c>
      <c r="I52" s="24">
        <f t="shared" si="14"/>
        <v>12.151594401418535</v>
      </c>
      <c r="J52" s="24">
        <f t="shared" si="14"/>
        <v>13.887536458764046</v>
      </c>
    </row>
    <row r="53" spans="1:10" s="60" customFormat="1" x14ac:dyDescent="0.35">
      <c r="B53" s="57"/>
      <c r="C53" s="15"/>
      <c r="D53" s="15"/>
      <c r="E53" s="15"/>
      <c r="F53" s="15"/>
      <c r="G53" s="15"/>
      <c r="H53" s="15"/>
      <c r="I53" s="15"/>
      <c r="J53" s="15"/>
    </row>
    <row r="54" spans="1:10" s="60" customFormat="1" x14ac:dyDescent="0.35">
      <c r="A54" s="71" t="s">
        <v>384</v>
      </c>
      <c r="B54" s="76"/>
      <c r="C54" s="111"/>
      <c r="D54" s="111"/>
      <c r="E54" s="111"/>
      <c r="F54" s="111"/>
      <c r="G54" s="111"/>
      <c r="H54" s="111"/>
      <c r="I54" s="111"/>
      <c r="J54" s="111"/>
    </row>
    <row r="55" spans="1:10" s="60" customFormat="1" x14ac:dyDescent="0.35">
      <c r="B55" s="57"/>
      <c r="C55" s="15"/>
      <c r="D55" s="15"/>
      <c r="E55" s="15"/>
      <c r="F55" s="15"/>
      <c r="G55" s="15"/>
      <c r="H55" s="15"/>
      <c r="I55" s="15"/>
      <c r="J55" s="15"/>
    </row>
    <row r="56" spans="1:10" s="60" customFormat="1" ht="43.5" x14ac:dyDescent="0.35">
      <c r="A56" s="109" t="s">
        <v>385</v>
      </c>
      <c r="B56" s="112">
        <v>0.15</v>
      </c>
      <c r="C56" s="48">
        <v>1</v>
      </c>
      <c r="D56" s="48">
        <v>2</v>
      </c>
      <c r="E56" s="48">
        <v>3</v>
      </c>
      <c r="F56" s="48">
        <v>4</v>
      </c>
      <c r="G56" s="48">
        <v>5</v>
      </c>
      <c r="H56" s="48">
        <v>6</v>
      </c>
      <c r="I56" s="48">
        <v>7</v>
      </c>
      <c r="J56" s="48">
        <v>8</v>
      </c>
    </row>
    <row r="57" spans="1:10" s="60" customFormat="1" x14ac:dyDescent="0.35">
      <c r="A57" s="11" t="s">
        <v>382</v>
      </c>
      <c r="B57" s="110"/>
      <c r="C57" s="24">
        <f>($C$35-$C$35*5.5%)*C56</f>
        <v>7.3594205734550577</v>
      </c>
      <c r="D57" s="24">
        <f>($C$35-$C$35*5.5%)*D56</f>
        <v>14.718841146910115</v>
      </c>
      <c r="E57" s="24">
        <f t="shared" ref="E57:J57" si="15">($C$35-$C$35*5.5%)*E56</f>
        <v>22.078261720365173</v>
      </c>
      <c r="F57" s="24">
        <f t="shared" si="15"/>
        <v>29.437682293820231</v>
      </c>
      <c r="G57" s="24">
        <f t="shared" si="15"/>
        <v>36.797102867275285</v>
      </c>
      <c r="H57" s="24">
        <f t="shared" si="15"/>
        <v>44.156523440730346</v>
      </c>
      <c r="I57" s="24">
        <f t="shared" si="15"/>
        <v>51.515944014185408</v>
      </c>
      <c r="J57" s="24">
        <f t="shared" si="15"/>
        <v>58.875364587640462</v>
      </c>
    </row>
    <row r="58" spans="1:10" s="60" customFormat="1" x14ac:dyDescent="0.35">
      <c r="A58" s="11" t="s">
        <v>281</v>
      </c>
      <c r="B58" s="16"/>
      <c r="C58" s="115">
        <f>C57*$B$56</f>
        <v>1.1039130860182587</v>
      </c>
      <c r="D58" s="115">
        <f t="shared" ref="D58:J58" si="16">D57*$B$56</f>
        <v>2.2078261720365173</v>
      </c>
      <c r="E58" s="115">
        <f t="shared" si="16"/>
        <v>3.311739258054776</v>
      </c>
      <c r="F58" s="115">
        <f t="shared" si="16"/>
        <v>4.4156523440730346</v>
      </c>
      <c r="G58" s="115">
        <f t="shared" si="16"/>
        <v>5.5195654300912924</v>
      </c>
      <c r="H58" s="115">
        <f t="shared" si="16"/>
        <v>6.623478516109552</v>
      </c>
      <c r="I58" s="115">
        <f t="shared" si="16"/>
        <v>7.7273916021278106</v>
      </c>
      <c r="J58" s="115">
        <f t="shared" si="16"/>
        <v>8.8313046881460693</v>
      </c>
    </row>
    <row r="59" spans="1:10" s="60" customFormat="1" x14ac:dyDescent="0.35">
      <c r="B59" s="57"/>
      <c r="C59" s="114"/>
      <c r="D59" s="114"/>
      <c r="E59" s="114"/>
      <c r="F59" s="114"/>
      <c r="G59" s="114"/>
      <c r="H59" s="114"/>
      <c r="I59" s="114"/>
      <c r="J59" s="114"/>
    </row>
    <row r="60" spans="1:10" s="60" customFormat="1" ht="43.5" x14ac:dyDescent="0.35">
      <c r="A60" s="109" t="s">
        <v>394</v>
      </c>
      <c r="B60" s="112">
        <v>0.1</v>
      </c>
      <c r="C60" s="48">
        <v>1</v>
      </c>
      <c r="D60" s="48">
        <v>2</v>
      </c>
      <c r="E60" s="48">
        <v>3</v>
      </c>
      <c r="F60" s="48">
        <v>4</v>
      </c>
      <c r="G60" s="48">
        <v>5</v>
      </c>
      <c r="H60" s="48">
        <v>6</v>
      </c>
      <c r="I60" s="48">
        <v>7</v>
      </c>
      <c r="J60" s="48">
        <v>8</v>
      </c>
    </row>
    <row r="61" spans="1:10" s="60" customFormat="1" x14ac:dyDescent="0.35">
      <c r="A61" s="11" t="s">
        <v>382</v>
      </c>
      <c r="B61" s="16"/>
      <c r="C61" s="24">
        <f>($C$35-$C$35*5.5%)*C60</f>
        <v>7.3594205734550577</v>
      </c>
      <c r="D61" s="24">
        <f>($C$35-$C$35*5.5%)*D60</f>
        <v>14.718841146910115</v>
      </c>
      <c r="E61" s="24">
        <f t="shared" ref="E61:J61" si="17">($C$35-$C$35*5.5%)*E60</f>
        <v>22.078261720365173</v>
      </c>
      <c r="F61" s="24">
        <f t="shared" si="17"/>
        <v>29.437682293820231</v>
      </c>
      <c r="G61" s="24">
        <f t="shared" si="17"/>
        <v>36.797102867275285</v>
      </c>
      <c r="H61" s="24">
        <f t="shared" si="17"/>
        <v>44.156523440730346</v>
      </c>
      <c r="I61" s="24">
        <f t="shared" si="17"/>
        <v>51.515944014185408</v>
      </c>
      <c r="J61" s="24">
        <f t="shared" si="17"/>
        <v>58.875364587640462</v>
      </c>
    </row>
    <row r="62" spans="1:10" s="60" customFormat="1" x14ac:dyDescent="0.35">
      <c r="A62" s="11" t="s">
        <v>386</v>
      </c>
      <c r="B62" s="16"/>
      <c r="C62" s="113">
        <f>C61*$B$60</f>
        <v>0.73594205734550577</v>
      </c>
      <c r="D62" s="113">
        <f t="shared" ref="D62:J62" si="18">D61*$B$60</f>
        <v>1.4718841146910115</v>
      </c>
      <c r="E62" s="113">
        <f t="shared" si="18"/>
        <v>2.2078261720365173</v>
      </c>
      <c r="F62" s="113">
        <f>F61*$B$60</f>
        <v>2.9437682293820231</v>
      </c>
      <c r="G62" s="113">
        <f t="shared" si="18"/>
        <v>3.6797102867275289</v>
      </c>
      <c r="H62" s="113">
        <f t="shared" si="18"/>
        <v>4.4156523440730346</v>
      </c>
      <c r="I62" s="113">
        <f t="shared" si="18"/>
        <v>5.1515944014185413</v>
      </c>
      <c r="J62" s="113">
        <f t="shared" si="18"/>
        <v>5.8875364587640462</v>
      </c>
    </row>
    <row r="63" spans="1:10" s="60" customFormat="1" x14ac:dyDescent="0.35">
      <c r="A63" s="11" t="s">
        <v>387</v>
      </c>
      <c r="B63" s="16"/>
      <c r="C63" s="113">
        <f>C52-C62</f>
        <v>1</v>
      </c>
      <c r="D63" s="113">
        <f t="shared" ref="D63:J63" si="19">D52-D62</f>
        <v>2</v>
      </c>
      <c r="E63" s="113">
        <f t="shared" si="19"/>
        <v>3.0000000000000018</v>
      </c>
      <c r="F63" s="113">
        <f>F52-F62</f>
        <v>4</v>
      </c>
      <c r="G63" s="113">
        <f t="shared" si="19"/>
        <v>4.9999999999999982</v>
      </c>
      <c r="H63" s="113">
        <f t="shared" si="19"/>
        <v>6.0000000000000036</v>
      </c>
      <c r="I63" s="113">
        <f t="shared" si="19"/>
        <v>6.9999999999999938</v>
      </c>
      <c r="J63" s="113">
        <f t="shared" si="19"/>
        <v>8</v>
      </c>
    </row>
    <row r="65" spans="1:10" x14ac:dyDescent="0.35">
      <c r="A65" s="68" t="s">
        <v>416</v>
      </c>
      <c r="B65" s="67"/>
      <c r="C65" s="67"/>
      <c r="D65" s="67"/>
      <c r="E65" s="67"/>
      <c r="F65" s="67"/>
      <c r="G65" s="67"/>
      <c r="H65" s="67"/>
      <c r="I65" s="67"/>
      <c r="J65" s="67"/>
    </row>
    <row r="67" spans="1:10" x14ac:dyDescent="0.35">
      <c r="A67" s="117" t="s">
        <v>389</v>
      </c>
      <c r="B67" s="118"/>
    </row>
    <row r="68" spans="1:10" x14ac:dyDescent="0.35">
      <c r="A68" s="116" t="s">
        <v>393</v>
      </c>
      <c r="B68" s="145">
        <f>J58</f>
        <v>8.8313046881460693</v>
      </c>
    </row>
    <row r="69" spans="1:10" x14ac:dyDescent="0.35">
      <c r="A69" s="42" t="s">
        <v>392</v>
      </c>
      <c r="B69" s="24">
        <f>F52</f>
        <v>6.9437682293820231</v>
      </c>
    </row>
    <row r="70" spans="1:10" x14ac:dyDescent="0.35">
      <c r="A70" s="120" t="s">
        <v>48</v>
      </c>
      <c r="B70" s="34">
        <f>SUM(B68:B69)</f>
        <v>15.775072917528092</v>
      </c>
    </row>
    <row r="72" spans="1:10" x14ac:dyDescent="0.35">
      <c r="A72" s="117" t="s">
        <v>390</v>
      </c>
      <c r="B72" s="118"/>
    </row>
    <row r="73" spans="1:10" x14ac:dyDescent="0.35">
      <c r="A73" s="116" t="s">
        <v>393</v>
      </c>
      <c r="B73" s="145">
        <f>J58</f>
        <v>8.8313046881460693</v>
      </c>
    </row>
    <row r="74" spans="1:10" x14ac:dyDescent="0.35">
      <c r="A74" s="42" t="s">
        <v>392</v>
      </c>
      <c r="B74" s="24">
        <f>F63</f>
        <v>4</v>
      </c>
    </row>
    <row r="75" spans="1:10" x14ac:dyDescent="0.35">
      <c r="A75" s="120" t="s">
        <v>48</v>
      </c>
      <c r="B75" s="34">
        <f>SUM(B73:B74)</f>
        <v>12.831304688146069</v>
      </c>
    </row>
    <row r="77" spans="1:10" x14ac:dyDescent="0.35">
      <c r="A77" s="68" t="s">
        <v>422</v>
      </c>
      <c r="B77" s="67"/>
      <c r="C77" s="67"/>
      <c r="D77" s="67"/>
      <c r="E77" s="67"/>
      <c r="F77" s="67"/>
      <c r="G77" s="67"/>
      <c r="H77" s="67"/>
      <c r="I77" s="67"/>
      <c r="J77" s="67"/>
    </row>
    <row r="79" spans="1:10" x14ac:dyDescent="0.35">
      <c r="A79" s="117" t="s">
        <v>389</v>
      </c>
      <c r="B79" s="118"/>
    </row>
    <row r="80" spans="1:10" x14ac:dyDescent="0.35">
      <c r="A80" s="42" t="s">
        <v>405</v>
      </c>
      <c r="B80" s="24">
        <f>D35</f>
        <v>62.301973108614241</v>
      </c>
    </row>
    <row r="81" spans="1:3" x14ac:dyDescent="0.35">
      <c r="A81" s="116" t="s">
        <v>393</v>
      </c>
      <c r="B81" s="145">
        <f>0-J58</f>
        <v>-8.8313046881460693</v>
      </c>
    </row>
    <row r="82" spans="1:3" x14ac:dyDescent="0.35">
      <c r="A82" s="120" t="s">
        <v>48</v>
      </c>
      <c r="B82" s="34">
        <f>SUM(B80:B81)</f>
        <v>53.470668420468172</v>
      </c>
    </row>
    <row r="84" spans="1:3" x14ac:dyDescent="0.35">
      <c r="A84" s="133" t="s">
        <v>390</v>
      </c>
      <c r="B84" s="134"/>
    </row>
    <row r="85" spans="1:3" x14ac:dyDescent="0.35">
      <c r="A85" s="42" t="s">
        <v>405</v>
      </c>
      <c r="B85" s="24">
        <f>D35</f>
        <v>62.301973108614241</v>
      </c>
    </row>
    <row r="86" spans="1:3" x14ac:dyDescent="0.35">
      <c r="A86" s="42" t="s">
        <v>393</v>
      </c>
      <c r="B86" s="24">
        <f>0-J58</f>
        <v>-8.8313046881460693</v>
      </c>
    </row>
    <row r="87" spans="1:3" x14ac:dyDescent="0.35">
      <c r="A87" s="42" t="s">
        <v>406</v>
      </c>
      <c r="B87" s="24">
        <f>F62</f>
        <v>2.9437682293820231</v>
      </c>
    </row>
    <row r="88" spans="1:3" x14ac:dyDescent="0.35">
      <c r="A88" s="120" t="s">
        <v>48</v>
      </c>
      <c r="B88" s="34">
        <f>SUM(B85:B87)</f>
        <v>56.414436649850195</v>
      </c>
    </row>
    <row r="89" spans="1:3" s="40" customFormat="1" x14ac:dyDescent="0.35">
      <c r="A89" s="121"/>
      <c r="B89" s="122"/>
    </row>
    <row r="90" spans="1:3" s="40" customFormat="1" x14ac:dyDescent="0.35">
      <c r="A90" s="121"/>
      <c r="B90" s="122"/>
    </row>
    <row r="91" spans="1:3" s="40" customFormat="1" x14ac:dyDescent="0.35">
      <c r="A91" s="37" t="s">
        <v>96</v>
      </c>
      <c r="B91" s="122"/>
    </row>
    <row r="92" spans="1:3" s="40" customFormat="1" x14ac:dyDescent="0.35">
      <c r="A92" s="121"/>
      <c r="B92" s="122"/>
    </row>
    <row r="93" spans="1:3" x14ac:dyDescent="0.35">
      <c r="A93" s="2" t="s">
        <v>67</v>
      </c>
      <c r="B93" s="7"/>
    </row>
    <row r="94" spans="1:3" x14ac:dyDescent="0.35">
      <c r="A94" s="7" t="s">
        <v>116</v>
      </c>
      <c r="B94" s="7">
        <v>20</v>
      </c>
      <c r="C94" t="s">
        <v>456</v>
      </c>
    </row>
    <row r="95" spans="1:3" x14ac:dyDescent="0.35">
      <c r="A95" s="7" t="s">
        <v>140</v>
      </c>
      <c r="B95" s="7">
        <v>90</v>
      </c>
    </row>
    <row r="97" spans="1:2" x14ac:dyDescent="0.35">
      <c r="A97" s="39" t="s">
        <v>115</v>
      </c>
      <c r="B97" s="40"/>
    </row>
    <row r="99" spans="1:2" x14ac:dyDescent="0.35">
      <c r="A99" t="s">
        <v>458</v>
      </c>
    </row>
    <row r="100" spans="1:2" x14ac:dyDescent="0.35">
      <c r="A100" t="s">
        <v>463</v>
      </c>
    </row>
    <row r="101" spans="1:2" x14ac:dyDescent="0.35">
      <c r="A101" t="s">
        <v>459</v>
      </c>
    </row>
    <row r="102" spans="1:2" x14ac:dyDescent="0.35">
      <c r="A102" t="s">
        <v>460</v>
      </c>
    </row>
    <row r="103" spans="1:2" x14ac:dyDescent="0.35">
      <c r="A103" t="s">
        <v>461</v>
      </c>
    </row>
    <row r="104" spans="1:2" x14ac:dyDescent="0.35">
      <c r="A104" t="s">
        <v>462</v>
      </c>
    </row>
    <row r="105" spans="1:2" x14ac:dyDescent="0.35">
      <c r="A105" t="s">
        <v>464</v>
      </c>
    </row>
    <row r="106" spans="1:2" x14ac:dyDescent="0.35">
      <c r="A106" t="s">
        <v>465</v>
      </c>
    </row>
    <row r="108" spans="1:2" x14ac:dyDescent="0.35">
      <c r="A108" t="s">
        <v>466</v>
      </c>
    </row>
  </sheetData>
  <conditionalFormatting sqref="C51:J51">
    <cfRule type="cellIs" dxfId="56" priority="7" operator="greaterThanOrEqual">
      <formula>1</formula>
    </cfRule>
    <cfRule type="cellIs" dxfId="55" priority="8" operator="between">
      <formula>0.5</formula>
      <formula>1</formula>
    </cfRule>
  </conditionalFormatting>
  <conditionalFormatting sqref="C52:J52">
    <cfRule type="cellIs" dxfId="54" priority="5" operator="between">
      <formula>2</formula>
      <formula>4</formula>
    </cfRule>
    <cfRule type="cellIs" dxfId="53" priority="6" operator="greaterThanOrEqual">
      <formula>4</formula>
    </cfRule>
  </conditionalFormatting>
  <conditionalFormatting sqref="C62:J62">
    <cfRule type="cellIs" dxfId="52" priority="4" operator="greaterThanOrEqual">
      <formula>$J$58</formula>
    </cfRule>
  </conditionalFormatting>
  <conditionalFormatting sqref="C63:J63">
    <cfRule type="cellIs" dxfId="51" priority="2" operator="between">
      <formula>2</formula>
      <formula>4</formula>
    </cfRule>
    <cfRule type="cellIs" dxfId="50" priority="3" operator="greaterThanOrEqual">
      <formula>4</formula>
    </cfRule>
  </conditionalFormatting>
  <conditionalFormatting sqref="C58:J58">
    <cfRule type="cellIs" dxfId="49" priority="1" operator="greaterThanOrEqual">
      <formula>0.5</formula>
    </cfRule>
  </conditionalFormatting>
  <dataValidations count="1">
    <dataValidation type="list" allowBlank="1" showInputMessage="1" showErrorMessage="1" sqref="A6:A25">
      <formula1>Ingrédients_recettes</formula1>
    </dataValidation>
  </dataValidations>
  <pageMargins left="0.7" right="0.7" top="0.75" bottom="0.75" header="0.3" footer="0.3"/>
  <pageSetup paperSize="9" scale="59" orientation="portrait" horizontalDpi="4294967293" verticalDpi="4294967293"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0"/>
  <sheetViews>
    <sheetView topLeftCell="A20" workbookViewId="0">
      <selection activeCell="B17" sqref="B17:B18"/>
    </sheetView>
  </sheetViews>
  <sheetFormatPr baseColWidth="10" defaultRowHeight="14.5" x14ac:dyDescent="0.35"/>
  <cols>
    <col min="1" max="1" width="34.1796875" customWidth="1"/>
    <col min="2" max="2" width="14.6328125" bestFit="1" customWidth="1"/>
    <col min="3" max="3" width="13.1796875" bestFit="1" customWidth="1"/>
    <col min="4" max="4" width="14.36328125" bestFit="1" customWidth="1"/>
    <col min="5" max="5" width="10.1796875" bestFit="1" customWidth="1"/>
    <col min="6" max="6" width="12" customWidth="1"/>
    <col min="7" max="7" width="9.81640625" customWidth="1"/>
    <col min="8" max="8" width="10.90625" customWidth="1"/>
  </cols>
  <sheetData>
    <row r="1" spans="1:9" x14ac:dyDescent="0.35">
      <c r="A1" s="103" t="s">
        <v>475</v>
      </c>
      <c r="B1" s="104"/>
      <c r="C1" s="104"/>
      <c r="D1" s="104"/>
      <c r="E1" s="104"/>
      <c r="F1" s="104"/>
      <c r="G1" s="104"/>
      <c r="H1" s="63"/>
    </row>
    <row r="2" spans="1:9" s="38" customFormat="1" x14ac:dyDescent="0.35">
      <c r="A2" s="73"/>
      <c r="B2" s="74"/>
      <c r="C2" s="74"/>
      <c r="D2" s="74"/>
      <c r="E2" s="74"/>
      <c r="F2" s="74"/>
      <c r="G2" s="74"/>
    </row>
    <row r="3" spans="1:9" s="38" customFormat="1" x14ac:dyDescent="0.35">
      <c r="A3" s="68" t="s">
        <v>276</v>
      </c>
      <c r="B3" s="75"/>
      <c r="C3" s="75"/>
      <c r="D3" s="75"/>
      <c r="E3" s="75"/>
      <c r="F3" s="75"/>
      <c r="G3" s="75"/>
      <c r="H3" s="67"/>
    </row>
    <row r="5" spans="1:9" x14ac:dyDescent="0.35">
      <c r="A5" s="2" t="s">
        <v>68</v>
      </c>
      <c r="B5" s="2" t="s">
        <v>41</v>
      </c>
      <c r="C5" s="2" t="s">
        <v>42</v>
      </c>
      <c r="D5" s="2" t="s">
        <v>40</v>
      </c>
    </row>
    <row r="6" spans="1:9" x14ac:dyDescent="0.35">
      <c r="A6" s="7" t="s">
        <v>491</v>
      </c>
      <c r="B6" s="4">
        <v>0.35799999999999998</v>
      </c>
      <c r="C6" s="31">
        <f t="shared" ref="C6:C14" si="0">IF(ISERROR(VLOOKUP(A6,Tableau_produits,6,FALSE)),0,VLOOKUP(A6,Tableau_produits,6,FALSE))</f>
        <v>23.351955307262568</v>
      </c>
      <c r="D6" s="32">
        <f>C6*B6</f>
        <v>8.36</v>
      </c>
      <c r="E6" s="88"/>
      <c r="I6" s="89"/>
    </row>
    <row r="7" spans="1:9" x14ac:dyDescent="0.35">
      <c r="A7" s="7" t="s">
        <v>492</v>
      </c>
      <c r="B7" s="4">
        <v>0.5</v>
      </c>
      <c r="C7" s="31">
        <f t="shared" si="0"/>
        <v>3.89937106918239</v>
      </c>
      <c r="D7" s="32">
        <f>C7*B7</f>
        <v>1.949685534591195</v>
      </c>
      <c r="I7" s="89"/>
    </row>
    <row r="8" spans="1:9" x14ac:dyDescent="0.35">
      <c r="A8" s="7" t="s">
        <v>109</v>
      </c>
      <c r="B8" s="4">
        <f>0.01*5</f>
        <v>0.05</v>
      </c>
      <c r="C8" s="31">
        <f t="shared" si="0"/>
        <v>9.56</v>
      </c>
      <c r="D8" s="32">
        <f t="shared" ref="D8:D14" si="1">C8*B8</f>
        <v>0.47800000000000004</v>
      </c>
      <c r="I8" s="89"/>
    </row>
    <row r="9" spans="1:9" x14ac:dyDescent="0.35">
      <c r="A9" s="7" t="s">
        <v>153</v>
      </c>
      <c r="B9" s="4">
        <v>0.01</v>
      </c>
      <c r="C9" s="31">
        <f t="shared" si="0"/>
        <v>3.9866666666666668</v>
      </c>
      <c r="D9" s="32">
        <f t="shared" si="1"/>
        <v>3.9866666666666668E-2</v>
      </c>
      <c r="I9" s="89"/>
    </row>
    <row r="10" spans="1:9" x14ac:dyDescent="0.35">
      <c r="A10" s="7" t="s">
        <v>493</v>
      </c>
      <c r="B10" s="86">
        <v>0.25</v>
      </c>
      <c r="C10" s="31">
        <f t="shared" si="0"/>
        <v>2.4803149606299213</v>
      </c>
      <c r="D10" s="32">
        <f t="shared" si="1"/>
        <v>0.62007874015748032</v>
      </c>
      <c r="I10" s="40"/>
    </row>
    <row r="11" spans="1:9" x14ac:dyDescent="0.35">
      <c r="A11" s="7" t="s">
        <v>296</v>
      </c>
      <c r="B11" s="86">
        <v>1</v>
      </c>
      <c r="C11" s="31">
        <f t="shared" si="0"/>
        <v>0.75</v>
      </c>
      <c r="D11" s="32">
        <f t="shared" si="1"/>
        <v>0.75</v>
      </c>
    </row>
    <row r="12" spans="1:9" x14ac:dyDescent="0.35">
      <c r="A12" s="7" t="s">
        <v>494</v>
      </c>
      <c r="B12" s="10">
        <f>0.03*2</f>
        <v>0.06</v>
      </c>
      <c r="C12" s="31">
        <f t="shared" si="0"/>
        <v>7.9861111111111107</v>
      </c>
      <c r="D12" s="33">
        <f t="shared" si="1"/>
        <v>0.47916666666666663</v>
      </c>
    </row>
    <row r="13" spans="1:9" x14ac:dyDescent="0.35">
      <c r="A13" s="7" t="s">
        <v>495</v>
      </c>
      <c r="B13" s="10">
        <v>0.1</v>
      </c>
      <c r="C13" s="31">
        <f t="shared" si="0"/>
        <v>8.6</v>
      </c>
      <c r="D13" s="33">
        <f t="shared" si="1"/>
        <v>0.86</v>
      </c>
    </row>
    <row r="14" spans="1:9" x14ac:dyDescent="0.35">
      <c r="A14" s="7" t="s">
        <v>499</v>
      </c>
      <c r="B14" s="10">
        <v>5.0000000000000001E-3</v>
      </c>
      <c r="C14" s="31">
        <f t="shared" si="0"/>
        <v>20.400000000000002</v>
      </c>
      <c r="D14" s="33">
        <f t="shared" si="1"/>
        <v>0.10200000000000001</v>
      </c>
    </row>
    <row r="15" spans="1:9" x14ac:dyDescent="0.35">
      <c r="A15" s="7" t="s">
        <v>500</v>
      </c>
      <c r="B15" s="10">
        <v>5.0000000000000001E-3</v>
      </c>
      <c r="C15" s="31">
        <f t="shared" ref="C15:C19" si="2">IF(ISERROR(VLOOKUP(A15,Tableau_produits,6,FALSE)),0,VLOOKUP(A15,Tableau_produits,6,FALSE))</f>
        <v>10.4</v>
      </c>
      <c r="D15" s="33">
        <f t="shared" ref="D15:D19" si="3">C15*B15</f>
        <v>5.2000000000000005E-2</v>
      </c>
    </row>
    <row r="16" spans="1:9" x14ac:dyDescent="0.35">
      <c r="A16" s="7" t="s">
        <v>501</v>
      </c>
      <c r="B16" s="10">
        <v>0.04</v>
      </c>
      <c r="C16" s="31">
        <f t="shared" si="2"/>
        <v>19.266666666666669</v>
      </c>
      <c r="D16" s="33">
        <f t="shared" si="3"/>
        <v>0.77066666666666683</v>
      </c>
    </row>
    <row r="17" spans="1:8" x14ac:dyDescent="0.35">
      <c r="A17" s="7" t="s">
        <v>136</v>
      </c>
      <c r="B17" s="10">
        <f>0.001</f>
        <v>1E-3</v>
      </c>
      <c r="C17" s="31">
        <f t="shared" si="2"/>
        <v>94.199999999999989</v>
      </c>
      <c r="D17" s="33">
        <f t="shared" si="3"/>
        <v>9.4199999999999992E-2</v>
      </c>
    </row>
    <row r="18" spans="1:8" x14ac:dyDescent="0.35">
      <c r="A18" s="7" t="s">
        <v>111</v>
      </c>
      <c r="B18" s="10">
        <f>0.0005</f>
        <v>5.0000000000000001E-4</v>
      </c>
      <c r="C18" s="31">
        <f t="shared" si="2"/>
        <v>4.9800000000000004</v>
      </c>
      <c r="D18" s="33">
        <f t="shared" si="3"/>
        <v>2.4900000000000005E-3</v>
      </c>
    </row>
    <row r="19" spans="1:8" x14ac:dyDescent="0.35">
      <c r="A19" s="7" t="s">
        <v>374</v>
      </c>
      <c r="B19" s="10">
        <f>0.25*2</f>
        <v>0.5</v>
      </c>
      <c r="C19" s="31">
        <f t="shared" si="2"/>
        <v>2.4018126888217521</v>
      </c>
      <c r="D19" s="33">
        <f t="shared" si="3"/>
        <v>1.2009063444108761</v>
      </c>
    </row>
    <row r="20" spans="1:8" x14ac:dyDescent="0.35">
      <c r="A20" s="13" t="s">
        <v>48</v>
      </c>
      <c r="B20" s="13"/>
      <c r="C20" s="13"/>
      <c r="D20" s="34">
        <f>SUM(D6:D19)</f>
        <v>15.75906061915955</v>
      </c>
    </row>
    <row r="21" spans="1:8" x14ac:dyDescent="0.35">
      <c r="A21" s="34" t="str">
        <f>"Coût par portion ("&amp;ROUND(C24*1000,0)&amp;"g)"</f>
        <v>Coût par portion (0g)</v>
      </c>
      <c r="B21" s="13"/>
      <c r="C21" s="13"/>
      <c r="D21" s="34">
        <f>IF(E24=0,0,D20/E24)</f>
        <v>7.8795303095797751</v>
      </c>
    </row>
    <row r="23" spans="1:8" ht="43.5" x14ac:dyDescent="0.35">
      <c r="A23" s="2" t="s">
        <v>90</v>
      </c>
      <c r="B23" s="28" t="s">
        <v>91</v>
      </c>
      <c r="C23" s="28" t="s">
        <v>94</v>
      </c>
      <c r="D23" s="28" t="s">
        <v>92</v>
      </c>
      <c r="E23" s="28" t="s">
        <v>95</v>
      </c>
    </row>
    <row r="24" spans="1:8" x14ac:dyDescent="0.35">
      <c r="A24" s="7" t="s">
        <v>93</v>
      </c>
      <c r="B24" s="7"/>
      <c r="C24" s="7">
        <v>0</v>
      </c>
      <c r="D24" s="30">
        <v>2</v>
      </c>
      <c r="E24" s="35">
        <f>TRUNC(D24)</f>
        <v>2</v>
      </c>
    </row>
    <row r="25" spans="1:8" s="38" customFormat="1" x14ac:dyDescent="0.35">
      <c r="A25" s="60"/>
      <c r="B25" s="60"/>
      <c r="C25" s="60"/>
      <c r="D25" s="64"/>
      <c r="E25" s="60"/>
    </row>
    <row r="26" spans="1:8" s="38" customFormat="1" x14ac:dyDescent="0.35">
      <c r="A26" s="71" t="s">
        <v>277</v>
      </c>
      <c r="B26" s="69"/>
      <c r="C26" s="69"/>
      <c r="D26" s="70"/>
      <c r="E26" s="69"/>
      <c r="F26" s="67"/>
      <c r="G26" s="67"/>
      <c r="H26" s="67"/>
    </row>
    <row r="27" spans="1:8" s="38" customFormat="1" x14ac:dyDescent="0.35">
      <c r="A27" s="60"/>
      <c r="B27" s="60"/>
      <c r="C27" s="60"/>
      <c r="D27" s="64"/>
      <c r="E27" s="60"/>
    </row>
    <row r="28" spans="1:8" s="38" customFormat="1" x14ac:dyDescent="0.35">
      <c r="A28" s="16" t="s">
        <v>274</v>
      </c>
      <c r="B28" s="2" t="s">
        <v>267</v>
      </c>
      <c r="C28" s="2" t="s">
        <v>268</v>
      </c>
      <c r="D28" s="2" t="s">
        <v>269</v>
      </c>
      <c r="E28"/>
    </row>
    <row r="29" spans="1:8" s="38" customFormat="1" x14ac:dyDescent="0.35">
      <c r="A29" s="7" t="s">
        <v>270</v>
      </c>
      <c r="B29" s="78">
        <v>8</v>
      </c>
      <c r="C29" s="24">
        <f>D21</f>
        <v>7.8795303095797751</v>
      </c>
      <c r="D29" s="35">
        <f>C29*B29</f>
        <v>63.036242476638201</v>
      </c>
      <c r="E29"/>
      <c r="G29" s="144"/>
    </row>
    <row r="30" spans="1:8" s="38" customFormat="1" x14ac:dyDescent="0.35">
      <c r="A30" s="7" t="s">
        <v>271</v>
      </c>
      <c r="B30" s="78">
        <v>4</v>
      </c>
      <c r="C30" s="24">
        <f>C29</f>
        <v>7.8795303095797751</v>
      </c>
      <c r="D30" s="35">
        <f>C30*B30</f>
        <v>31.5181212383191</v>
      </c>
      <c r="E30"/>
      <c r="F30"/>
    </row>
    <row r="31" spans="1:8" s="38" customFormat="1" x14ac:dyDescent="0.35">
      <c r="A31" s="7" t="s">
        <v>272</v>
      </c>
      <c r="B31" s="35">
        <f>B29-B30</f>
        <v>4</v>
      </c>
      <c r="C31" s="66">
        <f>(D31/B31)*90%</f>
        <v>14.183154557243595</v>
      </c>
      <c r="D31" s="35">
        <f>D29</f>
        <v>63.036242476638201</v>
      </c>
      <c r="E31"/>
      <c r="F31" s="83"/>
      <c r="G31"/>
      <c r="H31"/>
    </row>
    <row r="32" spans="1:8" s="38" customFormat="1" x14ac:dyDescent="0.35">
      <c r="A32" s="60"/>
      <c r="B32" s="60"/>
      <c r="C32" s="60"/>
      <c r="D32" s="64"/>
      <c r="E32" s="60"/>
    </row>
    <row r="33" spans="1:10" x14ac:dyDescent="0.35">
      <c r="A33" s="16" t="s">
        <v>275</v>
      </c>
      <c r="B33" s="50" t="s">
        <v>235</v>
      </c>
      <c r="C33" s="45">
        <v>1</v>
      </c>
      <c r="D33" s="45">
        <v>2</v>
      </c>
      <c r="E33" s="45">
        <v>3</v>
      </c>
      <c r="F33" s="45">
        <v>4</v>
      </c>
      <c r="G33" s="46">
        <v>5</v>
      </c>
      <c r="H33" s="46">
        <v>6</v>
      </c>
      <c r="I33" s="46">
        <v>7</v>
      </c>
      <c r="J33" s="46">
        <v>8</v>
      </c>
    </row>
    <row r="34" spans="1:10" x14ac:dyDescent="0.35">
      <c r="A34" s="17" t="s">
        <v>51</v>
      </c>
      <c r="B34" s="53"/>
      <c r="C34" s="24">
        <f>$C$31*C33</f>
        <v>14.183154557243595</v>
      </c>
      <c r="D34" s="24">
        <f t="shared" ref="D34:J34" si="4">$C$31*D33</f>
        <v>28.366309114487191</v>
      </c>
      <c r="E34" s="24">
        <f t="shared" si="4"/>
        <v>42.549463671730784</v>
      </c>
      <c r="F34" s="24">
        <f t="shared" si="4"/>
        <v>56.732618228974381</v>
      </c>
      <c r="G34" s="24">
        <f t="shared" si="4"/>
        <v>70.915772786217971</v>
      </c>
      <c r="H34" s="24">
        <f t="shared" si="4"/>
        <v>85.098927343461568</v>
      </c>
      <c r="I34" s="24">
        <f t="shared" si="4"/>
        <v>99.282081900705165</v>
      </c>
      <c r="J34" s="24">
        <f t="shared" si="4"/>
        <v>113.46523645794876</v>
      </c>
    </row>
    <row r="35" spans="1:10" x14ac:dyDescent="0.35">
      <c r="A35" s="16" t="s">
        <v>391</v>
      </c>
      <c r="B35" s="54">
        <v>1</v>
      </c>
      <c r="C35" s="24">
        <f>(($C$34+$B$35)+$C$56)*C33</f>
        <v>15.927770171498883</v>
      </c>
      <c r="D35" s="24">
        <f t="shared" ref="D35:J35" si="5">(($C$34+$B$35)+$C$56)*D33</f>
        <v>31.855540342997767</v>
      </c>
      <c r="E35" s="24">
        <f t="shared" si="5"/>
        <v>47.783310514496648</v>
      </c>
      <c r="F35" s="24">
        <f t="shared" si="5"/>
        <v>63.711080685995533</v>
      </c>
      <c r="G35" s="24">
        <f t="shared" si="5"/>
        <v>79.638850857494418</v>
      </c>
      <c r="H35" s="24">
        <f t="shared" si="5"/>
        <v>95.566621028993296</v>
      </c>
      <c r="I35" s="24">
        <f t="shared" si="5"/>
        <v>111.49439120049219</v>
      </c>
      <c r="J35" s="24">
        <f t="shared" si="5"/>
        <v>127.42216137199107</v>
      </c>
    </row>
    <row r="36" spans="1:10" x14ac:dyDescent="0.35">
      <c r="A36" s="55" t="s">
        <v>380</v>
      </c>
      <c r="B36" s="56"/>
      <c r="C36" s="34">
        <f>C35+(C35*5.5%)</f>
        <v>16.803797530931323</v>
      </c>
      <c r="D36" s="34">
        <f t="shared" ref="D36:J36" si="6">D35+(D35*5.5%)</f>
        <v>33.607595061862646</v>
      </c>
      <c r="E36" s="34">
        <f t="shared" si="6"/>
        <v>50.411392592793966</v>
      </c>
      <c r="F36" s="34">
        <f t="shared" si="6"/>
        <v>67.215190123725293</v>
      </c>
      <c r="G36" s="34">
        <f t="shared" si="6"/>
        <v>84.018987654656613</v>
      </c>
      <c r="H36" s="34">
        <f t="shared" si="6"/>
        <v>100.82278518558793</v>
      </c>
      <c r="I36" s="34">
        <f t="shared" si="6"/>
        <v>117.62658271651927</v>
      </c>
      <c r="J36" s="34">
        <f t="shared" si="6"/>
        <v>134.43038024745059</v>
      </c>
    </row>
    <row r="37" spans="1:10" s="38" customFormat="1" x14ac:dyDescent="0.35">
      <c r="A37" s="49" t="s">
        <v>233</v>
      </c>
      <c r="B37" s="15"/>
      <c r="C37" s="15"/>
      <c r="D37" s="15"/>
      <c r="E37" s="15"/>
      <c r="F37" s="15"/>
      <c r="G37" s="15"/>
    </row>
    <row r="38" spans="1:10" x14ac:dyDescent="0.35">
      <c r="A38" s="15"/>
      <c r="B38" s="14"/>
      <c r="C38" s="14"/>
      <c r="D38" s="14"/>
      <c r="E38" s="14"/>
    </row>
    <row r="39" spans="1:10" x14ac:dyDescent="0.35">
      <c r="A39" s="16" t="s">
        <v>388</v>
      </c>
      <c r="B39" s="56"/>
      <c r="C39" s="47">
        <v>1</v>
      </c>
      <c r="D39" s="47">
        <v>2</v>
      </c>
      <c r="E39" s="47">
        <v>3</v>
      </c>
      <c r="F39" s="47">
        <v>4</v>
      </c>
      <c r="G39" s="48">
        <v>5</v>
      </c>
      <c r="H39" s="48">
        <v>6</v>
      </c>
      <c r="I39" s="48">
        <v>7</v>
      </c>
      <c r="J39" s="48">
        <v>8</v>
      </c>
    </row>
    <row r="40" spans="1:10" x14ac:dyDescent="0.35">
      <c r="A40" s="17" t="s">
        <v>52</v>
      </c>
      <c r="B40" s="56"/>
      <c r="C40" s="24">
        <f>C34-($C$29*C39)</f>
        <v>6.3036242476638202</v>
      </c>
      <c r="D40" s="24">
        <f t="shared" ref="D40:J40" si="7">D34-($C$29*D39)</f>
        <v>12.60724849532764</v>
      </c>
      <c r="E40" s="24">
        <f t="shared" si="7"/>
        <v>18.910872742991458</v>
      </c>
      <c r="F40" s="24">
        <f t="shared" si="7"/>
        <v>25.214496990655281</v>
      </c>
      <c r="G40" s="24">
        <f t="shared" si="7"/>
        <v>31.518121238319097</v>
      </c>
      <c r="H40" s="24">
        <f t="shared" si="7"/>
        <v>37.821745485982916</v>
      </c>
      <c r="I40" s="24">
        <f t="shared" si="7"/>
        <v>44.125369733646743</v>
      </c>
      <c r="J40" s="24">
        <f t="shared" si="7"/>
        <v>50.428993981310562</v>
      </c>
    </row>
    <row r="41" spans="1:10" x14ac:dyDescent="0.35">
      <c r="A41" s="17" t="s">
        <v>53</v>
      </c>
      <c r="B41" s="56"/>
      <c r="C41" s="24">
        <f>C35-C34</f>
        <v>1.744615614255288</v>
      </c>
      <c r="D41" s="24">
        <f t="shared" ref="D41:J41" si="8">D35-D34</f>
        <v>3.489231228510576</v>
      </c>
      <c r="E41" s="24">
        <f t="shared" si="8"/>
        <v>5.233846842765864</v>
      </c>
      <c r="F41" s="24">
        <f t="shared" si="8"/>
        <v>6.978462457021152</v>
      </c>
      <c r="G41" s="24">
        <f t="shared" si="8"/>
        <v>8.7230780712764471</v>
      </c>
      <c r="H41" s="24">
        <f t="shared" si="8"/>
        <v>10.467693685531728</v>
      </c>
      <c r="I41" s="24">
        <f t="shared" si="8"/>
        <v>12.212309299787023</v>
      </c>
      <c r="J41" s="24">
        <f t="shared" si="8"/>
        <v>13.956924914042304</v>
      </c>
    </row>
    <row r="42" spans="1:10" s="38" customFormat="1" x14ac:dyDescent="0.35">
      <c r="A42" s="49" t="s">
        <v>234</v>
      </c>
      <c r="B42" s="15"/>
      <c r="C42" s="15"/>
      <c r="D42" s="15"/>
      <c r="E42" s="15"/>
      <c r="F42" s="15"/>
    </row>
    <row r="44" spans="1:10" x14ac:dyDescent="0.35">
      <c r="A44" s="2" t="s">
        <v>236</v>
      </c>
      <c r="B44" s="56"/>
      <c r="C44" s="47">
        <v>1</v>
      </c>
      <c r="D44" s="47">
        <v>2</v>
      </c>
      <c r="E44" s="47">
        <v>3</v>
      </c>
      <c r="F44" s="47">
        <v>4</v>
      </c>
      <c r="G44" s="48">
        <v>5</v>
      </c>
      <c r="H44" s="48">
        <v>6</v>
      </c>
      <c r="I44" s="48">
        <v>7</v>
      </c>
      <c r="J44" s="48">
        <v>8</v>
      </c>
    </row>
    <row r="45" spans="1:10" x14ac:dyDescent="0.35">
      <c r="A45" s="7" t="s">
        <v>238</v>
      </c>
      <c r="B45" s="56"/>
      <c r="C45" s="59">
        <f>IF($D$29=0,0,(C34)/$D$29)</f>
        <v>0.22500000000000001</v>
      </c>
      <c r="D45" s="59">
        <f t="shared" ref="D45:J45" si="9">IF($D$29=0,0,(D34)/$D$29)</f>
        <v>0.45</v>
      </c>
      <c r="E45" s="59">
        <f t="shared" si="9"/>
        <v>0.67499999999999993</v>
      </c>
      <c r="F45" s="59">
        <f>IF($D$29=0,0,(F34)/$D$29)</f>
        <v>0.9</v>
      </c>
      <c r="G45" s="59">
        <f t="shared" si="9"/>
        <v>1.125</v>
      </c>
      <c r="H45" s="59">
        <f t="shared" si="9"/>
        <v>1.3499999999999999</v>
      </c>
      <c r="I45" s="59">
        <f t="shared" si="9"/>
        <v>1.575</v>
      </c>
      <c r="J45" s="59">
        <f t="shared" si="9"/>
        <v>1.8</v>
      </c>
    </row>
    <row r="46" spans="1:10" x14ac:dyDescent="0.35">
      <c r="A46" s="7" t="s">
        <v>383</v>
      </c>
      <c r="B46" s="56"/>
      <c r="C46" s="24">
        <f>C41</f>
        <v>1.744615614255288</v>
      </c>
      <c r="D46" s="24">
        <f t="shared" ref="D46:J46" si="10">D41</f>
        <v>3.489231228510576</v>
      </c>
      <c r="E46" s="24">
        <f t="shared" si="10"/>
        <v>5.233846842765864</v>
      </c>
      <c r="F46" s="24">
        <f t="shared" si="10"/>
        <v>6.978462457021152</v>
      </c>
      <c r="G46" s="24">
        <f t="shared" si="10"/>
        <v>8.7230780712764471</v>
      </c>
      <c r="H46" s="24">
        <f t="shared" si="10"/>
        <v>10.467693685531728</v>
      </c>
      <c r="I46" s="24">
        <f t="shared" si="10"/>
        <v>12.212309299787023</v>
      </c>
      <c r="J46" s="24">
        <f t="shared" si="10"/>
        <v>13.956924914042304</v>
      </c>
    </row>
    <row r="47" spans="1:10" s="60" customFormat="1" x14ac:dyDescent="0.35">
      <c r="B47" s="57"/>
      <c r="C47" s="15"/>
      <c r="D47" s="15"/>
      <c r="E47" s="15"/>
      <c r="F47" s="15"/>
      <c r="G47" s="15"/>
      <c r="H47" s="15"/>
      <c r="I47" s="15"/>
      <c r="J47" s="15"/>
    </row>
    <row r="48" spans="1:10" s="60" customFormat="1" x14ac:dyDescent="0.35">
      <c r="A48" s="71" t="s">
        <v>384</v>
      </c>
      <c r="B48" s="76"/>
      <c r="C48" s="111"/>
      <c r="D48" s="111"/>
      <c r="E48" s="111"/>
      <c r="F48" s="111"/>
      <c r="G48" s="111"/>
      <c r="H48" s="111"/>
      <c r="I48" s="111"/>
      <c r="J48" s="111"/>
    </row>
    <row r="49" spans="1:10" s="60" customFormat="1" x14ac:dyDescent="0.35">
      <c r="B49" s="57"/>
      <c r="C49" s="15"/>
      <c r="D49" s="15"/>
      <c r="E49" s="15"/>
      <c r="F49" s="15"/>
      <c r="G49" s="15"/>
      <c r="H49" s="15"/>
      <c r="I49" s="15"/>
      <c r="J49" s="15"/>
    </row>
    <row r="50" spans="1:10" s="60" customFormat="1" ht="43.5" x14ac:dyDescent="0.35">
      <c r="A50" s="109" t="s">
        <v>385</v>
      </c>
      <c r="B50" s="112">
        <v>0.15</v>
      </c>
      <c r="C50" s="48">
        <v>1</v>
      </c>
      <c r="D50" s="48">
        <v>2</v>
      </c>
      <c r="E50" s="48">
        <v>3</v>
      </c>
      <c r="F50" s="48">
        <v>4</v>
      </c>
      <c r="G50" s="48">
        <v>5</v>
      </c>
      <c r="H50" s="48">
        <v>6</v>
      </c>
      <c r="I50" s="48">
        <v>7</v>
      </c>
      <c r="J50" s="48">
        <v>8</v>
      </c>
    </row>
    <row r="51" spans="1:10" s="60" customFormat="1" x14ac:dyDescent="0.35">
      <c r="A51" s="11" t="s">
        <v>382</v>
      </c>
      <c r="B51" s="110"/>
      <c r="C51" s="24">
        <f>($C$29-$C$29*5.5%)*C50</f>
        <v>7.446156142552887</v>
      </c>
      <c r="D51" s="24">
        <f>($C$29-$C$29*5.5%)*D50</f>
        <v>14.892312285105774</v>
      </c>
      <c r="E51" s="24">
        <f t="shared" ref="E51:J51" si="11">($C$29-$C$29*5.5%)*E50</f>
        <v>22.338468427658661</v>
      </c>
      <c r="F51" s="24">
        <f t="shared" si="11"/>
        <v>29.784624570211548</v>
      </c>
      <c r="G51" s="24">
        <f t="shared" si="11"/>
        <v>37.230780712764435</v>
      </c>
      <c r="H51" s="24">
        <f t="shared" si="11"/>
        <v>44.676936855317322</v>
      </c>
      <c r="I51" s="24">
        <f t="shared" si="11"/>
        <v>52.123092997870209</v>
      </c>
      <c r="J51" s="24">
        <f t="shared" si="11"/>
        <v>59.569249140423096</v>
      </c>
    </row>
    <row r="52" spans="1:10" s="60" customFormat="1" x14ac:dyDescent="0.35">
      <c r="A52" s="11" t="s">
        <v>281</v>
      </c>
      <c r="B52" s="16"/>
      <c r="C52" s="115">
        <f>C51*$B$50</f>
        <v>1.1169234213829331</v>
      </c>
      <c r="D52" s="115">
        <f t="shared" ref="D52:J52" si="12">D51*$B$50</f>
        <v>2.2338468427658662</v>
      </c>
      <c r="E52" s="115">
        <f t="shared" si="12"/>
        <v>3.3507702641487991</v>
      </c>
      <c r="F52" s="115">
        <f t="shared" si="12"/>
        <v>4.4676936855317324</v>
      </c>
      <c r="G52" s="115">
        <f t="shared" si="12"/>
        <v>5.5846171069146653</v>
      </c>
      <c r="H52" s="115">
        <f t="shared" si="12"/>
        <v>6.7015405282975982</v>
      </c>
      <c r="I52" s="115">
        <f t="shared" si="12"/>
        <v>7.818463949680531</v>
      </c>
      <c r="J52" s="115">
        <f t="shared" si="12"/>
        <v>8.9353873710634648</v>
      </c>
    </row>
    <row r="53" spans="1:10" s="60" customFormat="1" x14ac:dyDescent="0.35">
      <c r="B53" s="57"/>
      <c r="C53" s="114"/>
      <c r="D53" s="114"/>
      <c r="E53" s="114"/>
      <c r="F53" s="114"/>
      <c r="G53" s="114"/>
      <c r="H53" s="114"/>
      <c r="I53" s="114"/>
      <c r="J53" s="114"/>
    </row>
    <row r="54" spans="1:10" s="60" customFormat="1" ht="43.5" x14ac:dyDescent="0.35">
      <c r="A54" s="109" t="s">
        <v>394</v>
      </c>
      <c r="B54" s="112">
        <v>0.1</v>
      </c>
      <c r="C54" s="48">
        <v>1</v>
      </c>
      <c r="D54" s="48">
        <v>2</v>
      </c>
      <c r="E54" s="48">
        <v>3</v>
      </c>
      <c r="F54" s="48">
        <v>4</v>
      </c>
      <c r="G54" s="48">
        <v>5</v>
      </c>
      <c r="H54" s="48">
        <v>6</v>
      </c>
      <c r="I54" s="48">
        <v>7</v>
      </c>
      <c r="J54" s="48">
        <v>8</v>
      </c>
    </row>
    <row r="55" spans="1:10" s="60" customFormat="1" x14ac:dyDescent="0.35">
      <c r="A55" s="11" t="s">
        <v>382</v>
      </c>
      <c r="B55" s="16"/>
      <c r="C55" s="24">
        <f>($C$29-$C$29*5.5%)*C54</f>
        <v>7.446156142552887</v>
      </c>
      <c r="D55" s="24">
        <f>($C$29-$C$29*5.5%)*D54</f>
        <v>14.892312285105774</v>
      </c>
      <c r="E55" s="24">
        <f t="shared" ref="E55:J55" si="13">($C$29-$C$29*5.5%)*E54</f>
        <v>22.338468427658661</v>
      </c>
      <c r="F55" s="24">
        <f t="shared" si="13"/>
        <v>29.784624570211548</v>
      </c>
      <c r="G55" s="24">
        <f t="shared" si="13"/>
        <v>37.230780712764435</v>
      </c>
      <c r="H55" s="24">
        <f t="shared" si="13"/>
        <v>44.676936855317322</v>
      </c>
      <c r="I55" s="24">
        <f t="shared" si="13"/>
        <v>52.123092997870209</v>
      </c>
      <c r="J55" s="24">
        <f t="shared" si="13"/>
        <v>59.569249140423096</v>
      </c>
    </row>
    <row r="56" spans="1:10" s="60" customFormat="1" x14ac:dyDescent="0.35">
      <c r="A56" s="11" t="s">
        <v>386</v>
      </c>
      <c r="B56" s="16"/>
      <c r="C56" s="113">
        <f>C55*$B$54</f>
        <v>0.74461561425528877</v>
      </c>
      <c r="D56" s="113">
        <f t="shared" ref="D56:J56" si="14">D55*$B$54</f>
        <v>1.4892312285105775</v>
      </c>
      <c r="E56" s="113">
        <f t="shared" si="14"/>
        <v>2.2338468427658662</v>
      </c>
      <c r="F56" s="113">
        <f t="shared" si="14"/>
        <v>2.9784624570211551</v>
      </c>
      <c r="G56" s="113">
        <f t="shared" si="14"/>
        <v>3.7230780712764435</v>
      </c>
      <c r="H56" s="113">
        <f t="shared" si="14"/>
        <v>4.4676936855317324</v>
      </c>
      <c r="I56" s="113">
        <f t="shared" si="14"/>
        <v>5.2123092997870213</v>
      </c>
      <c r="J56" s="113">
        <f t="shared" si="14"/>
        <v>5.9569249140423102</v>
      </c>
    </row>
    <row r="57" spans="1:10" s="60" customFormat="1" x14ac:dyDescent="0.35">
      <c r="A57" s="11" t="s">
        <v>387</v>
      </c>
      <c r="B57" s="16"/>
      <c r="C57" s="113">
        <f>C46-C56</f>
        <v>0.99999999999999922</v>
      </c>
      <c r="D57" s="113">
        <f t="shared" ref="D57:J57" si="15">D46-D56</f>
        <v>1.9999999999999984</v>
      </c>
      <c r="E57" s="113">
        <f t="shared" si="15"/>
        <v>2.9999999999999978</v>
      </c>
      <c r="F57" s="113">
        <f>F46-F56</f>
        <v>3.9999999999999969</v>
      </c>
      <c r="G57" s="113">
        <f t="shared" si="15"/>
        <v>5.0000000000000036</v>
      </c>
      <c r="H57" s="113">
        <f t="shared" si="15"/>
        <v>5.9999999999999956</v>
      </c>
      <c r="I57" s="113">
        <f t="shared" si="15"/>
        <v>7.0000000000000018</v>
      </c>
      <c r="J57" s="113">
        <f t="shared" si="15"/>
        <v>7.9999999999999938</v>
      </c>
    </row>
    <row r="59" spans="1:10" x14ac:dyDescent="0.35">
      <c r="A59" s="68" t="s">
        <v>416</v>
      </c>
      <c r="B59" s="67"/>
      <c r="C59" s="67"/>
      <c r="D59" s="67"/>
      <c r="E59" s="67"/>
      <c r="F59" s="67"/>
      <c r="G59" s="67"/>
      <c r="H59" s="67"/>
      <c r="I59" s="67"/>
      <c r="J59" s="67"/>
    </row>
    <row r="61" spans="1:10" x14ac:dyDescent="0.35">
      <c r="A61" s="117" t="s">
        <v>389</v>
      </c>
      <c r="B61" s="118"/>
    </row>
    <row r="62" spans="1:10" x14ac:dyDescent="0.35">
      <c r="A62" s="116" t="s">
        <v>393</v>
      </c>
      <c r="B62" s="145">
        <f>J52</f>
        <v>8.9353873710634648</v>
      </c>
    </row>
    <row r="63" spans="1:10" x14ac:dyDescent="0.35">
      <c r="A63" s="42" t="s">
        <v>392</v>
      </c>
      <c r="B63" s="24">
        <f>F41</f>
        <v>6.978462457021152</v>
      </c>
    </row>
    <row r="64" spans="1:10" x14ac:dyDescent="0.35">
      <c r="A64" s="120" t="s">
        <v>48</v>
      </c>
      <c r="B64" s="34">
        <f>SUM(B62:B63)</f>
        <v>15.913849828084617</v>
      </c>
    </row>
    <row r="66" spans="1:10" x14ac:dyDescent="0.35">
      <c r="A66" s="117" t="s">
        <v>390</v>
      </c>
      <c r="B66" s="118"/>
    </row>
    <row r="67" spans="1:10" x14ac:dyDescent="0.35">
      <c r="A67" s="116" t="s">
        <v>393</v>
      </c>
      <c r="B67" s="145">
        <f>J52</f>
        <v>8.9353873710634648</v>
      </c>
    </row>
    <row r="68" spans="1:10" x14ac:dyDescent="0.35">
      <c r="A68" s="42" t="s">
        <v>392</v>
      </c>
      <c r="B68" s="24">
        <f>F57</f>
        <v>3.9999999999999969</v>
      </c>
    </row>
    <row r="69" spans="1:10" x14ac:dyDescent="0.35">
      <c r="A69" s="120" t="s">
        <v>48</v>
      </c>
      <c r="B69" s="34">
        <f>SUM(B67:B68)</f>
        <v>12.935387371063461</v>
      </c>
    </row>
    <row r="71" spans="1:10" x14ac:dyDescent="0.35">
      <c r="A71" s="68" t="s">
        <v>422</v>
      </c>
      <c r="B71" s="67"/>
      <c r="C71" s="67"/>
      <c r="D71" s="67"/>
      <c r="E71" s="67"/>
      <c r="F71" s="67"/>
      <c r="G71" s="67"/>
      <c r="H71" s="67"/>
      <c r="I71" s="67"/>
      <c r="J71" s="67"/>
    </row>
    <row r="73" spans="1:10" x14ac:dyDescent="0.35">
      <c r="A73" s="117" t="s">
        <v>389</v>
      </c>
      <c r="B73" s="118"/>
    </row>
    <row r="74" spans="1:10" x14ac:dyDescent="0.35">
      <c r="A74" s="42" t="s">
        <v>405</v>
      </c>
      <c r="B74" s="24">
        <f>D29</f>
        <v>63.036242476638201</v>
      </c>
    </row>
    <row r="75" spans="1:10" x14ac:dyDescent="0.35">
      <c r="A75" s="116" t="s">
        <v>393</v>
      </c>
      <c r="B75" s="145">
        <f>0-J52</f>
        <v>-8.9353873710634648</v>
      </c>
    </row>
    <row r="76" spans="1:10" x14ac:dyDescent="0.35">
      <c r="A76" s="120" t="s">
        <v>48</v>
      </c>
      <c r="B76" s="34">
        <f>SUM(B74:B75)</f>
        <v>54.100855105574738</v>
      </c>
    </row>
    <row r="78" spans="1:10" x14ac:dyDescent="0.35">
      <c r="A78" s="133" t="s">
        <v>390</v>
      </c>
      <c r="B78" s="134"/>
    </row>
    <row r="79" spans="1:10" x14ac:dyDescent="0.35">
      <c r="A79" s="42" t="s">
        <v>405</v>
      </c>
      <c r="B79" s="24">
        <f>D29</f>
        <v>63.036242476638201</v>
      </c>
    </row>
    <row r="80" spans="1:10" x14ac:dyDescent="0.35">
      <c r="A80" s="42" t="s">
        <v>393</v>
      </c>
      <c r="B80" s="24">
        <f>0-J52</f>
        <v>-8.9353873710634648</v>
      </c>
    </row>
    <row r="81" spans="1:2" x14ac:dyDescent="0.35">
      <c r="A81" s="42" t="s">
        <v>406</v>
      </c>
      <c r="B81" s="24">
        <f>F56</f>
        <v>2.9784624570211551</v>
      </c>
    </row>
    <row r="82" spans="1:2" x14ac:dyDescent="0.35">
      <c r="A82" s="120" t="s">
        <v>48</v>
      </c>
      <c r="B82" s="34">
        <f>SUM(B79:B81)</f>
        <v>57.07931756259589</v>
      </c>
    </row>
    <row r="83" spans="1:2" s="40" customFormat="1" x14ac:dyDescent="0.35">
      <c r="A83" s="121"/>
      <c r="B83" s="122"/>
    </row>
    <row r="84" spans="1:2" s="40" customFormat="1" x14ac:dyDescent="0.35">
      <c r="A84" s="121"/>
      <c r="B84" s="122"/>
    </row>
    <row r="85" spans="1:2" s="40" customFormat="1" x14ac:dyDescent="0.35">
      <c r="A85" s="37" t="s">
        <v>96</v>
      </c>
      <c r="B85" s="122"/>
    </row>
    <row r="86" spans="1:2" s="40" customFormat="1" x14ac:dyDescent="0.35">
      <c r="A86" s="121"/>
      <c r="B86" s="122"/>
    </row>
    <row r="87" spans="1:2" x14ac:dyDescent="0.35">
      <c r="A87" s="2" t="s">
        <v>67</v>
      </c>
      <c r="B87" s="7"/>
    </row>
    <row r="88" spans="1:2" x14ac:dyDescent="0.35">
      <c r="A88" s="7" t="s">
        <v>116</v>
      </c>
      <c r="B88" s="7">
        <v>20</v>
      </c>
    </row>
    <row r="89" spans="1:2" x14ac:dyDescent="0.35">
      <c r="A89" s="7" t="s">
        <v>140</v>
      </c>
      <c r="B89" s="7">
        <v>30</v>
      </c>
    </row>
    <row r="91" spans="1:2" x14ac:dyDescent="0.35">
      <c r="A91" s="39" t="s">
        <v>115</v>
      </c>
      <c r="B91" s="40"/>
    </row>
    <row r="93" spans="1:2" x14ac:dyDescent="0.35">
      <c r="A93" t="s">
        <v>510</v>
      </c>
    </row>
    <row r="94" spans="1:2" x14ac:dyDescent="0.35">
      <c r="A94" t="s">
        <v>503</v>
      </c>
    </row>
    <row r="95" spans="1:2" x14ac:dyDescent="0.35">
      <c r="A95" t="s">
        <v>504</v>
      </c>
    </row>
    <row r="96" spans="1:2" x14ac:dyDescent="0.35">
      <c r="A96" t="s">
        <v>505</v>
      </c>
    </row>
    <row r="97" spans="1:1" x14ac:dyDescent="0.35">
      <c r="A97" t="s">
        <v>507</v>
      </c>
    </row>
    <row r="98" spans="1:1" x14ac:dyDescent="0.35">
      <c r="A98" t="s">
        <v>506</v>
      </c>
    </row>
    <row r="99" spans="1:1" x14ac:dyDescent="0.35">
      <c r="A99" t="s">
        <v>508</v>
      </c>
    </row>
    <row r="100" spans="1:1" x14ac:dyDescent="0.35">
      <c r="A100" t="s">
        <v>509</v>
      </c>
    </row>
  </sheetData>
  <conditionalFormatting sqref="C45:J45">
    <cfRule type="cellIs" dxfId="48" priority="7" operator="greaterThanOrEqual">
      <formula>1</formula>
    </cfRule>
    <cfRule type="cellIs" dxfId="47" priority="8" operator="between">
      <formula>0.5</formula>
      <formula>1</formula>
    </cfRule>
  </conditionalFormatting>
  <conditionalFormatting sqref="C46:J46">
    <cfRule type="cellIs" dxfId="46" priority="5" operator="between">
      <formula>2</formula>
      <formula>4</formula>
    </cfRule>
    <cfRule type="cellIs" dxfId="45" priority="6" operator="greaterThanOrEqual">
      <formula>4</formula>
    </cfRule>
  </conditionalFormatting>
  <conditionalFormatting sqref="C56:J56">
    <cfRule type="cellIs" dxfId="44" priority="4" operator="greaterThanOrEqual">
      <formula>$J$52</formula>
    </cfRule>
  </conditionalFormatting>
  <conditionalFormatting sqref="C57:J57">
    <cfRule type="cellIs" dxfId="43" priority="2" operator="between">
      <formula>2</formula>
      <formula>4</formula>
    </cfRule>
    <cfRule type="cellIs" dxfId="42" priority="3" operator="greaterThanOrEqual">
      <formula>4</formula>
    </cfRule>
  </conditionalFormatting>
  <conditionalFormatting sqref="C52:J52">
    <cfRule type="cellIs" dxfId="41" priority="1" operator="greaterThanOrEqual">
      <formula>0.5</formula>
    </cfRule>
  </conditionalFormatting>
  <dataValidations count="1">
    <dataValidation type="list" allowBlank="1" showInputMessage="1" showErrorMessage="1" sqref="F6 A6:A19">
      <formula1>Ingrédients_recettes</formula1>
    </dataValidation>
  </dataValidations>
  <pageMargins left="0.7" right="0.7" top="0.75" bottom="0.75" header="0.3" footer="0.3"/>
  <pageSetup paperSize="9" scale="59" orientation="portrait" horizontalDpi="4294967293" verticalDpi="4294967293"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99"/>
  <sheetViews>
    <sheetView topLeftCell="A7" workbookViewId="0">
      <selection activeCell="D15" sqref="D15"/>
    </sheetView>
  </sheetViews>
  <sheetFormatPr baseColWidth="10" defaultRowHeight="14.5" x14ac:dyDescent="0.35"/>
  <cols>
    <col min="1" max="1" width="34.81640625" bestFit="1" customWidth="1"/>
    <col min="2" max="2" width="14.6328125" bestFit="1" customWidth="1"/>
    <col min="3" max="3" width="13.1796875" bestFit="1" customWidth="1"/>
    <col min="4" max="4" width="14.36328125" bestFit="1" customWidth="1"/>
    <col min="5" max="5" width="10.1796875" bestFit="1" customWidth="1"/>
    <col min="6" max="6" width="10" customWidth="1"/>
    <col min="7" max="7" width="9.81640625" customWidth="1"/>
  </cols>
  <sheetData>
    <row r="1" spans="1:11" x14ac:dyDescent="0.35">
      <c r="A1" s="43" t="s">
        <v>161</v>
      </c>
      <c r="B1" s="44"/>
      <c r="C1" s="44"/>
      <c r="D1" s="44"/>
      <c r="E1" s="44"/>
      <c r="F1" s="44"/>
      <c r="G1" s="44"/>
      <c r="H1" s="63"/>
      <c r="J1" s="7" t="s">
        <v>285</v>
      </c>
      <c r="K1" s="7"/>
    </row>
    <row r="2" spans="1:11" x14ac:dyDescent="0.35">
      <c r="J2" s="11" t="s">
        <v>281</v>
      </c>
      <c r="K2" s="7" t="s">
        <v>282</v>
      </c>
    </row>
    <row r="3" spans="1:11" x14ac:dyDescent="0.35">
      <c r="A3" s="68" t="s">
        <v>276</v>
      </c>
      <c r="B3" s="77"/>
      <c r="C3" s="77"/>
      <c r="D3" s="77"/>
      <c r="E3" s="77"/>
      <c r="F3" s="77"/>
      <c r="G3" s="77"/>
      <c r="H3" s="77"/>
    </row>
    <row r="5" spans="1:11" x14ac:dyDescent="0.35">
      <c r="A5" s="2" t="s">
        <v>68</v>
      </c>
      <c r="B5" s="2" t="s">
        <v>41</v>
      </c>
      <c r="C5" s="2" t="s">
        <v>42</v>
      </c>
      <c r="D5" s="2" t="s">
        <v>40</v>
      </c>
    </row>
    <row r="6" spans="1:11" x14ac:dyDescent="0.35">
      <c r="A6" s="7" t="s">
        <v>165</v>
      </c>
      <c r="B6" s="6">
        <v>0.11</v>
      </c>
      <c r="C6" s="31">
        <f t="shared" ref="C6:C12" si="0">IF(ISERROR(VLOOKUP(A6,Tableau_produits,6,FALSE)),0,VLOOKUP(A6,Tableau_produits,6,FALSE))</f>
        <v>36</v>
      </c>
      <c r="D6" s="32">
        <f>C6*B6</f>
        <v>3.96</v>
      </c>
    </row>
    <row r="7" spans="1:11" x14ac:dyDescent="0.35">
      <c r="A7" s="7" t="s">
        <v>166</v>
      </c>
      <c r="B7" s="6">
        <v>0.22500000000000001</v>
      </c>
      <c r="C7" s="31">
        <f t="shared" si="0"/>
        <v>10.384615384615385</v>
      </c>
      <c r="D7" s="32">
        <f>C7*B7</f>
        <v>2.3365384615384617</v>
      </c>
    </row>
    <row r="8" spans="1:11" x14ac:dyDescent="0.35">
      <c r="A8" s="7" t="s">
        <v>155</v>
      </c>
      <c r="B8" s="6">
        <v>4</v>
      </c>
      <c r="C8" s="31">
        <f t="shared" si="0"/>
        <v>0.45</v>
      </c>
      <c r="D8" s="32">
        <f t="shared" ref="D8:D12" si="1">C8*B8</f>
        <v>1.8</v>
      </c>
    </row>
    <row r="9" spans="1:11" x14ac:dyDescent="0.35">
      <c r="A9" s="7" t="s">
        <v>153</v>
      </c>
      <c r="B9" s="6">
        <v>0.05</v>
      </c>
      <c r="C9" s="31">
        <f t="shared" si="0"/>
        <v>3.9866666666666668</v>
      </c>
      <c r="D9" s="32">
        <f t="shared" si="1"/>
        <v>0.19933333333333336</v>
      </c>
    </row>
    <row r="10" spans="1:11" x14ac:dyDescent="0.35">
      <c r="A10" s="7" t="s">
        <v>167</v>
      </c>
      <c r="B10" s="10">
        <f>0.06/3</f>
        <v>0.02</v>
      </c>
      <c r="C10" s="31">
        <f t="shared" si="0"/>
        <v>53.000000000000007</v>
      </c>
      <c r="D10" s="32">
        <f t="shared" si="1"/>
        <v>1.06</v>
      </c>
    </row>
    <row r="11" spans="1:11" x14ac:dyDescent="0.35">
      <c r="A11" s="7" t="s">
        <v>168</v>
      </c>
      <c r="B11" s="22">
        <f>0.37/2</f>
        <v>0.185</v>
      </c>
      <c r="C11" s="31">
        <f t="shared" si="0"/>
        <v>11.054054054054054</v>
      </c>
      <c r="D11" s="32">
        <f t="shared" si="1"/>
        <v>2.0449999999999999</v>
      </c>
    </row>
    <row r="12" spans="1:11" x14ac:dyDescent="0.35">
      <c r="A12" s="7" t="s">
        <v>171</v>
      </c>
      <c r="B12" s="21">
        <f>0.01/2</f>
        <v>5.0000000000000001E-3</v>
      </c>
      <c r="C12" s="31">
        <f t="shared" si="0"/>
        <v>105</v>
      </c>
      <c r="D12" s="33">
        <f t="shared" si="1"/>
        <v>0.52500000000000002</v>
      </c>
    </row>
    <row r="13" spans="1:11" x14ac:dyDescent="0.35">
      <c r="A13" s="13" t="s">
        <v>48</v>
      </c>
      <c r="B13" s="13"/>
      <c r="C13" s="13"/>
      <c r="D13" s="34">
        <f>SUM(D6:D12)</f>
        <v>11.925871794871796</v>
      </c>
    </row>
    <row r="14" spans="1:11" x14ac:dyDescent="0.35">
      <c r="A14" s="34" t="str">
        <f>"Coût par portion ("&amp;ROUND(C17*1000,0)&amp;"g)"</f>
        <v>Coût par portion (0g)</v>
      </c>
      <c r="B14" s="13"/>
      <c r="C14" s="13"/>
      <c r="D14" s="34">
        <f>IF(E17=0,0,D13/E17)</f>
        <v>0.29814679487179491</v>
      </c>
    </row>
    <row r="16" spans="1:11" ht="43.5" x14ac:dyDescent="0.35">
      <c r="A16" s="2" t="s">
        <v>90</v>
      </c>
      <c r="B16" s="28" t="s">
        <v>91</v>
      </c>
      <c r="C16" s="28" t="s">
        <v>94</v>
      </c>
      <c r="D16" s="28" t="s">
        <v>92</v>
      </c>
      <c r="E16" s="28" t="s">
        <v>95</v>
      </c>
    </row>
    <row r="17" spans="1:42" x14ac:dyDescent="0.35">
      <c r="A17" s="7" t="s">
        <v>93</v>
      </c>
      <c r="B17" s="7"/>
      <c r="C17" s="7">
        <v>0</v>
      </c>
      <c r="D17" s="30">
        <v>40</v>
      </c>
      <c r="E17" s="35">
        <f>TRUNC(D17)</f>
        <v>40</v>
      </c>
    </row>
    <row r="18" spans="1:42" s="38" customFormat="1" x14ac:dyDescent="0.35">
      <c r="A18" s="60"/>
      <c r="B18" s="60"/>
      <c r="C18" s="60"/>
      <c r="D18" s="64"/>
      <c r="E18" s="60"/>
    </row>
    <row r="19" spans="1:42" s="38" customFormat="1" x14ac:dyDescent="0.35">
      <c r="A19" s="71" t="s">
        <v>277</v>
      </c>
      <c r="B19" s="69"/>
      <c r="C19" s="69"/>
      <c r="D19" s="70"/>
      <c r="E19" s="69"/>
      <c r="F19" s="67"/>
      <c r="G19" s="67"/>
      <c r="H19" s="67"/>
    </row>
    <row r="20" spans="1:42" s="38" customFormat="1" x14ac:dyDescent="0.35">
      <c r="A20" s="60"/>
      <c r="B20" s="60"/>
      <c r="C20" s="60"/>
      <c r="D20" s="64"/>
      <c r="E20" s="60"/>
    </row>
    <row r="21" spans="1:42" s="38" customFormat="1" x14ac:dyDescent="0.35">
      <c r="A21" s="16" t="s">
        <v>273</v>
      </c>
      <c r="B21" s="2" t="s">
        <v>267</v>
      </c>
      <c r="C21" s="2" t="s">
        <v>268</v>
      </c>
      <c r="D21" s="2" t="s">
        <v>269</v>
      </c>
      <c r="E21" s="60"/>
    </row>
    <row r="22" spans="1:42" s="38" customFormat="1" x14ac:dyDescent="0.35">
      <c r="A22" s="7" t="s">
        <v>278</v>
      </c>
      <c r="B22" s="78">
        <v>40</v>
      </c>
      <c r="C22" s="24">
        <f>D14</f>
        <v>0.29814679487179491</v>
      </c>
      <c r="D22" s="35">
        <f>C22*B22</f>
        <v>11.925871794871796</v>
      </c>
      <c r="E22" s="60"/>
    </row>
    <row r="23" spans="1:42" s="38" customFormat="1" x14ac:dyDescent="0.35">
      <c r="A23" s="7" t="s">
        <v>279</v>
      </c>
      <c r="B23" s="79">
        <v>20</v>
      </c>
      <c r="C23" s="24">
        <f>C22</f>
        <v>0.29814679487179491</v>
      </c>
      <c r="D23" s="35">
        <f>C23*B23</f>
        <v>5.9629358974358979</v>
      </c>
      <c r="E23" s="60"/>
    </row>
    <row r="24" spans="1:42" s="38" customFormat="1" x14ac:dyDescent="0.35">
      <c r="A24" s="7" t="s">
        <v>280</v>
      </c>
      <c r="B24" s="72">
        <f>B22-B23</f>
        <v>20</v>
      </c>
      <c r="C24" s="82">
        <f>(D24/B24)*70%</f>
        <v>0.41740551282051286</v>
      </c>
      <c r="D24" s="35">
        <f>D22</f>
        <v>11.925871794871796</v>
      </c>
      <c r="E24" s="60"/>
      <c r="F24" s="83"/>
    </row>
    <row r="25" spans="1:42" s="38" customFormat="1" x14ac:dyDescent="0.35">
      <c r="A25" s="60"/>
      <c r="B25" s="60"/>
      <c r="C25" s="60"/>
      <c r="D25" s="64"/>
      <c r="E25" s="60"/>
    </row>
    <row r="26" spans="1:42" x14ac:dyDescent="0.35">
      <c r="A26" s="16" t="s">
        <v>275</v>
      </c>
      <c r="B26" s="50" t="s">
        <v>235</v>
      </c>
      <c r="C26" s="2">
        <v>1</v>
      </c>
      <c r="D26" s="2">
        <v>2</v>
      </c>
      <c r="E26" s="2">
        <v>3</v>
      </c>
      <c r="F26" s="90">
        <v>4</v>
      </c>
      <c r="G26" s="23">
        <v>5</v>
      </c>
      <c r="H26" s="23">
        <v>6</v>
      </c>
      <c r="I26" s="23">
        <v>7</v>
      </c>
      <c r="J26" s="23">
        <v>8</v>
      </c>
      <c r="K26" s="23">
        <v>9</v>
      </c>
      <c r="L26" s="23">
        <v>10</v>
      </c>
      <c r="M26" s="23">
        <v>11</v>
      </c>
      <c r="N26" s="23">
        <v>12</v>
      </c>
      <c r="O26" s="23">
        <v>13</v>
      </c>
      <c r="P26" s="23">
        <v>14</v>
      </c>
      <c r="Q26" s="23">
        <v>15</v>
      </c>
      <c r="R26" s="23">
        <v>16</v>
      </c>
      <c r="S26" s="23">
        <v>17</v>
      </c>
      <c r="T26" s="23">
        <v>18</v>
      </c>
      <c r="U26" s="23">
        <v>19</v>
      </c>
      <c r="V26" s="23">
        <v>20</v>
      </c>
      <c r="W26" s="23">
        <v>21</v>
      </c>
      <c r="X26" s="23">
        <v>22</v>
      </c>
      <c r="Y26" s="23">
        <v>23</v>
      </c>
      <c r="Z26" s="23">
        <v>24</v>
      </c>
      <c r="AA26" s="23">
        <v>25</v>
      </c>
      <c r="AB26" s="23">
        <v>26</v>
      </c>
      <c r="AC26" s="23">
        <v>27</v>
      </c>
      <c r="AD26" s="23">
        <v>28</v>
      </c>
      <c r="AE26" s="23">
        <v>29</v>
      </c>
      <c r="AF26" s="23">
        <v>30</v>
      </c>
      <c r="AG26" s="23">
        <v>31</v>
      </c>
      <c r="AH26" s="23">
        <v>32</v>
      </c>
      <c r="AI26" s="23">
        <v>33</v>
      </c>
      <c r="AJ26" s="23">
        <v>34</v>
      </c>
      <c r="AK26" s="23">
        <v>35</v>
      </c>
      <c r="AL26" s="23">
        <v>36</v>
      </c>
      <c r="AM26" s="23">
        <v>37</v>
      </c>
      <c r="AN26" s="23">
        <v>38</v>
      </c>
      <c r="AO26" s="23">
        <v>39</v>
      </c>
      <c r="AP26" s="23">
        <v>40</v>
      </c>
    </row>
    <row r="27" spans="1:42" x14ac:dyDescent="0.35">
      <c r="A27" s="17" t="s">
        <v>51</v>
      </c>
      <c r="B27" s="53"/>
      <c r="C27" s="24">
        <f>$C$24*C26</f>
        <v>0.41740551282051286</v>
      </c>
      <c r="D27" s="24">
        <f t="shared" ref="D27:Z27" si="2">$C$24*D26</f>
        <v>0.83481102564102572</v>
      </c>
      <c r="E27" s="24">
        <f t="shared" si="2"/>
        <v>1.2522165384615387</v>
      </c>
      <c r="F27" s="24">
        <f t="shared" si="2"/>
        <v>1.6696220512820514</v>
      </c>
      <c r="G27" s="24">
        <f t="shared" si="2"/>
        <v>2.0870275641025642</v>
      </c>
      <c r="H27" s="24">
        <f t="shared" si="2"/>
        <v>2.5044330769230774</v>
      </c>
      <c r="I27" s="24">
        <f t="shared" si="2"/>
        <v>2.9218385897435901</v>
      </c>
      <c r="J27" s="24">
        <f t="shared" si="2"/>
        <v>3.3392441025641029</v>
      </c>
      <c r="K27" s="24">
        <f t="shared" si="2"/>
        <v>3.7566496153846156</v>
      </c>
      <c r="L27" s="24">
        <f t="shared" si="2"/>
        <v>4.1740551282051284</v>
      </c>
      <c r="M27" s="24">
        <f t="shared" si="2"/>
        <v>4.5914606410256411</v>
      </c>
      <c r="N27" s="24">
        <f t="shared" si="2"/>
        <v>5.0088661538461547</v>
      </c>
      <c r="O27" s="24">
        <f t="shared" si="2"/>
        <v>5.4262716666666675</v>
      </c>
      <c r="P27" s="24">
        <f t="shared" si="2"/>
        <v>5.8436771794871802</v>
      </c>
      <c r="Q27" s="24">
        <f t="shared" si="2"/>
        <v>6.261082692307693</v>
      </c>
      <c r="R27" s="24">
        <f t="shared" si="2"/>
        <v>6.6784882051282057</v>
      </c>
      <c r="S27" s="24">
        <f t="shared" si="2"/>
        <v>7.0958937179487185</v>
      </c>
      <c r="T27" s="24">
        <f t="shared" si="2"/>
        <v>7.5132992307692312</v>
      </c>
      <c r="U27" s="24">
        <f t="shared" si="2"/>
        <v>7.930704743589744</v>
      </c>
      <c r="V27" s="24">
        <f t="shared" si="2"/>
        <v>8.3481102564102567</v>
      </c>
      <c r="W27" s="24">
        <f t="shared" si="2"/>
        <v>8.7655157692307704</v>
      </c>
      <c r="X27" s="24">
        <f t="shared" si="2"/>
        <v>9.1829212820512822</v>
      </c>
      <c r="Y27" s="24">
        <f t="shared" si="2"/>
        <v>9.6003267948717959</v>
      </c>
      <c r="Z27" s="24">
        <f t="shared" si="2"/>
        <v>10.017732307692309</v>
      </c>
      <c r="AA27" s="24">
        <f t="shared" ref="AA27" si="3">$C$24*AA26</f>
        <v>10.435137820512821</v>
      </c>
      <c r="AB27" s="24">
        <f t="shared" ref="AB27" si="4">$C$24*AB26</f>
        <v>10.852543333333335</v>
      </c>
      <c r="AC27" s="24">
        <f t="shared" ref="AC27" si="5">$C$24*AC26</f>
        <v>11.269948846153847</v>
      </c>
      <c r="AD27" s="24">
        <f t="shared" ref="AD27" si="6">$C$24*AD26</f>
        <v>11.68735435897436</v>
      </c>
      <c r="AE27" s="24">
        <f t="shared" ref="AE27" si="7">$C$24*AE26</f>
        <v>12.104759871794872</v>
      </c>
      <c r="AF27" s="24">
        <f t="shared" ref="AF27" si="8">$C$24*AF26</f>
        <v>12.522165384615386</v>
      </c>
      <c r="AG27" s="24">
        <f t="shared" ref="AG27" si="9">$C$24*AG26</f>
        <v>12.939570897435898</v>
      </c>
      <c r="AH27" s="24">
        <f t="shared" ref="AH27" si="10">$C$24*AH26</f>
        <v>13.356976410256411</v>
      </c>
      <c r="AI27" s="24">
        <f t="shared" ref="AI27" si="11">$C$24*AI26</f>
        <v>13.774381923076925</v>
      </c>
      <c r="AJ27" s="24">
        <f t="shared" ref="AJ27" si="12">$C$24*AJ26</f>
        <v>14.191787435897437</v>
      </c>
      <c r="AK27" s="24">
        <f t="shared" ref="AK27" si="13">$C$24*AK26</f>
        <v>14.609192948717951</v>
      </c>
      <c r="AL27" s="24">
        <f t="shared" ref="AL27" si="14">$C$24*AL26</f>
        <v>15.026598461538462</v>
      </c>
      <c r="AM27" s="24">
        <f t="shared" ref="AM27" si="15">$C$24*AM26</f>
        <v>15.444003974358976</v>
      </c>
      <c r="AN27" s="24">
        <f t="shared" ref="AN27" si="16">$C$24*AN26</f>
        <v>15.861409487179488</v>
      </c>
      <c r="AO27" s="24">
        <f t="shared" ref="AO27" si="17">$C$24*AO26</f>
        <v>16.278815000000002</v>
      </c>
      <c r="AP27" s="24">
        <f t="shared" ref="AP27" si="18">$C$24*AP26</f>
        <v>16.696220512820513</v>
      </c>
    </row>
    <row r="28" spans="1:42" x14ac:dyDescent="0.35">
      <c r="A28" s="16" t="s">
        <v>473</v>
      </c>
      <c r="B28" s="54">
        <f>0.1</f>
        <v>0.1</v>
      </c>
      <c r="C28" s="24">
        <f>(($C$27+$B$28)+$C$49)*C26</f>
        <v>0.54558038493589744</v>
      </c>
      <c r="D28" s="24">
        <f t="shared" ref="D28:AP28" si="19">(($C$27+$B$28)+$C$49)*D26</f>
        <v>1.0911607698717949</v>
      </c>
      <c r="E28" s="24">
        <f t="shared" si="19"/>
        <v>1.6367411548076922</v>
      </c>
      <c r="F28" s="24">
        <f t="shared" si="19"/>
        <v>2.1823215397435898</v>
      </c>
      <c r="G28" s="24">
        <f t="shared" si="19"/>
        <v>2.7279019246794873</v>
      </c>
      <c r="H28" s="24">
        <f t="shared" si="19"/>
        <v>3.2734823096153844</v>
      </c>
      <c r="I28" s="24">
        <f t="shared" si="19"/>
        <v>3.819062694551282</v>
      </c>
      <c r="J28" s="24">
        <f t="shared" si="19"/>
        <v>4.3646430794871796</v>
      </c>
      <c r="K28" s="24">
        <f t="shared" si="19"/>
        <v>4.9102234644230771</v>
      </c>
      <c r="L28" s="24">
        <f t="shared" si="19"/>
        <v>5.4558038493589747</v>
      </c>
      <c r="M28" s="24">
        <f t="shared" si="19"/>
        <v>6.0013842342948722</v>
      </c>
      <c r="N28" s="24">
        <f t="shared" si="19"/>
        <v>6.5469646192307689</v>
      </c>
      <c r="O28" s="24">
        <f t="shared" si="19"/>
        <v>7.0925450041666664</v>
      </c>
      <c r="P28" s="24">
        <f t="shared" si="19"/>
        <v>7.638125389102564</v>
      </c>
      <c r="Q28" s="24">
        <f t="shared" si="19"/>
        <v>8.1837057740384616</v>
      </c>
      <c r="R28" s="24">
        <f t="shared" si="19"/>
        <v>8.7292861589743591</v>
      </c>
      <c r="S28" s="24">
        <f t="shared" si="19"/>
        <v>9.2748665439102567</v>
      </c>
      <c r="T28" s="24">
        <f t="shared" si="19"/>
        <v>9.8204469288461542</v>
      </c>
      <c r="U28" s="24">
        <f t="shared" si="19"/>
        <v>10.366027313782052</v>
      </c>
      <c r="V28" s="24">
        <f t="shared" si="19"/>
        <v>10.911607698717949</v>
      </c>
      <c r="W28" s="24">
        <f t="shared" si="19"/>
        <v>11.457188083653847</v>
      </c>
      <c r="X28" s="24">
        <f t="shared" si="19"/>
        <v>12.002768468589744</v>
      </c>
      <c r="Y28" s="24">
        <f t="shared" si="19"/>
        <v>12.548348853525642</v>
      </c>
      <c r="Z28" s="24">
        <f t="shared" si="19"/>
        <v>13.093929238461538</v>
      </c>
      <c r="AA28" s="24">
        <f t="shared" si="19"/>
        <v>13.639509623397435</v>
      </c>
      <c r="AB28" s="24">
        <f t="shared" si="19"/>
        <v>14.185090008333333</v>
      </c>
      <c r="AC28" s="24">
        <f t="shared" si="19"/>
        <v>14.73067039326923</v>
      </c>
      <c r="AD28" s="24">
        <f t="shared" si="19"/>
        <v>15.276250778205128</v>
      </c>
      <c r="AE28" s="24">
        <f t="shared" si="19"/>
        <v>15.821831163141026</v>
      </c>
      <c r="AF28" s="24">
        <f t="shared" si="19"/>
        <v>16.367411548076923</v>
      </c>
      <c r="AG28" s="24">
        <f t="shared" si="19"/>
        <v>16.912991933012822</v>
      </c>
      <c r="AH28" s="24">
        <f t="shared" si="19"/>
        <v>17.458572317948718</v>
      </c>
      <c r="AI28" s="24">
        <f t="shared" si="19"/>
        <v>18.004152702884614</v>
      </c>
      <c r="AJ28" s="24">
        <f t="shared" si="19"/>
        <v>18.549733087820513</v>
      </c>
      <c r="AK28" s="24">
        <f t="shared" si="19"/>
        <v>19.095313472756409</v>
      </c>
      <c r="AL28" s="24">
        <f t="shared" si="19"/>
        <v>19.640893857692308</v>
      </c>
      <c r="AM28" s="24">
        <f t="shared" si="19"/>
        <v>20.186474242628204</v>
      </c>
      <c r="AN28" s="24">
        <f t="shared" si="19"/>
        <v>20.732054627564104</v>
      </c>
      <c r="AO28" s="24">
        <f t="shared" si="19"/>
        <v>21.277635012499999</v>
      </c>
      <c r="AP28" s="24">
        <f t="shared" si="19"/>
        <v>21.823215397435899</v>
      </c>
    </row>
    <row r="29" spans="1:42" x14ac:dyDescent="0.35">
      <c r="A29" s="55" t="s">
        <v>380</v>
      </c>
      <c r="B29" s="56"/>
      <c r="C29" s="34">
        <f>C28+(C28*5.5%)</f>
        <v>0.57558730610737185</v>
      </c>
      <c r="D29" s="34">
        <f t="shared" ref="D29:Z29" si="20">D28+(D28*5.5%)</f>
        <v>1.1511746122147437</v>
      </c>
      <c r="E29" s="34">
        <f t="shared" si="20"/>
        <v>1.7267619183221152</v>
      </c>
      <c r="F29" s="34">
        <f t="shared" si="20"/>
        <v>2.3023492244294874</v>
      </c>
      <c r="G29" s="34">
        <f t="shared" si="20"/>
        <v>2.8779365305368589</v>
      </c>
      <c r="H29" s="34">
        <f t="shared" si="20"/>
        <v>3.4535238366442305</v>
      </c>
      <c r="I29" s="34">
        <f t="shared" si="20"/>
        <v>4.0291111427516029</v>
      </c>
      <c r="J29" s="34">
        <f t="shared" si="20"/>
        <v>4.6046984488589748</v>
      </c>
      <c r="K29" s="34">
        <f t="shared" si="20"/>
        <v>5.1802857549663468</v>
      </c>
      <c r="L29" s="34">
        <f t="shared" si="20"/>
        <v>5.7558730610737179</v>
      </c>
      <c r="M29" s="34">
        <f t="shared" si="20"/>
        <v>6.3314603671810898</v>
      </c>
      <c r="N29" s="34">
        <f t="shared" si="20"/>
        <v>6.9070476732884609</v>
      </c>
      <c r="O29" s="34">
        <f t="shared" si="20"/>
        <v>7.4826349793958329</v>
      </c>
      <c r="P29" s="34">
        <f t="shared" si="20"/>
        <v>8.0582222855032057</v>
      </c>
      <c r="Q29" s="34">
        <f t="shared" si="20"/>
        <v>8.6338095916105768</v>
      </c>
      <c r="R29" s="34">
        <f t="shared" si="20"/>
        <v>9.2093968977179497</v>
      </c>
      <c r="S29" s="34">
        <f t="shared" si="20"/>
        <v>9.7849842038253207</v>
      </c>
      <c r="T29" s="34">
        <f t="shared" si="20"/>
        <v>10.360571509932694</v>
      </c>
      <c r="U29" s="34">
        <f t="shared" si="20"/>
        <v>10.936158816040065</v>
      </c>
      <c r="V29" s="34">
        <f t="shared" si="20"/>
        <v>11.511746122147436</v>
      </c>
      <c r="W29" s="34">
        <f t="shared" si="20"/>
        <v>12.087333428254809</v>
      </c>
      <c r="X29" s="34">
        <f t="shared" si="20"/>
        <v>12.66292073436218</v>
      </c>
      <c r="Y29" s="34">
        <f t="shared" si="20"/>
        <v>13.238508040469553</v>
      </c>
      <c r="Z29" s="34">
        <f t="shared" si="20"/>
        <v>13.814095346576922</v>
      </c>
      <c r="AA29" s="34">
        <f t="shared" ref="AA29" si="21">AA28+(AA28*5.5%)</f>
        <v>14.389682652684295</v>
      </c>
      <c r="AB29" s="34">
        <f t="shared" ref="AB29" si="22">AB28+(AB28*5.5%)</f>
        <v>14.965269958791666</v>
      </c>
      <c r="AC29" s="34">
        <f t="shared" ref="AC29" si="23">AC28+(AC28*5.5%)</f>
        <v>15.540857264899039</v>
      </c>
      <c r="AD29" s="34">
        <f t="shared" ref="AD29" si="24">AD28+(AD28*5.5%)</f>
        <v>16.116444571006411</v>
      </c>
      <c r="AE29" s="34">
        <f t="shared" ref="AE29" si="25">AE28+(AE28*5.5%)</f>
        <v>16.692031877113781</v>
      </c>
      <c r="AF29" s="34">
        <f t="shared" ref="AF29" si="26">AF28+(AF28*5.5%)</f>
        <v>17.267619183221154</v>
      </c>
      <c r="AG29" s="34">
        <f t="shared" ref="AG29" si="27">AG28+(AG28*5.5%)</f>
        <v>17.843206489328526</v>
      </c>
      <c r="AH29" s="34">
        <f t="shared" ref="AH29" si="28">AH28+(AH28*5.5%)</f>
        <v>18.418793795435899</v>
      </c>
      <c r="AI29" s="34">
        <f t="shared" ref="AI29" si="29">AI28+(AI28*5.5%)</f>
        <v>18.994381101543269</v>
      </c>
      <c r="AJ29" s="34">
        <f t="shared" ref="AJ29" si="30">AJ28+(AJ28*5.5%)</f>
        <v>19.569968407650641</v>
      </c>
      <c r="AK29" s="34">
        <f t="shared" ref="AK29" si="31">AK28+(AK28*5.5%)</f>
        <v>20.145555713758011</v>
      </c>
      <c r="AL29" s="34">
        <f t="shared" ref="AL29" si="32">AL28+(AL28*5.5%)</f>
        <v>20.721143019865387</v>
      </c>
      <c r="AM29" s="34">
        <f t="shared" ref="AM29" si="33">AM28+(AM28*5.5%)</f>
        <v>21.296730325972757</v>
      </c>
      <c r="AN29" s="34">
        <f t="shared" ref="AN29" si="34">AN28+(AN28*5.5%)</f>
        <v>21.872317632080129</v>
      </c>
      <c r="AO29" s="34">
        <f t="shared" ref="AO29" si="35">AO28+(AO28*5.5%)</f>
        <v>22.447904938187499</v>
      </c>
      <c r="AP29" s="34">
        <f t="shared" ref="AP29" si="36">AP28+(AP28*5.5%)</f>
        <v>23.023492244294872</v>
      </c>
    </row>
    <row r="30" spans="1:42" s="38" customFormat="1" x14ac:dyDescent="0.35">
      <c r="A30" s="49" t="s">
        <v>233</v>
      </c>
      <c r="B30" s="49"/>
      <c r="C30" s="15"/>
      <c r="D30" s="15"/>
      <c r="E30" s="15"/>
      <c r="F30" s="15"/>
      <c r="G30" s="15"/>
      <c r="H30" s="15"/>
      <c r="I30" s="15"/>
    </row>
    <row r="31" spans="1:42" x14ac:dyDescent="0.35">
      <c r="A31" s="15"/>
      <c r="B31" s="15"/>
      <c r="C31" s="14"/>
      <c r="D31" s="14"/>
      <c r="E31" s="14"/>
      <c r="F31" s="14"/>
    </row>
    <row r="32" spans="1:42" x14ac:dyDescent="0.35">
      <c r="A32" s="16" t="s">
        <v>49</v>
      </c>
      <c r="B32" s="51"/>
      <c r="C32" s="18">
        <v>1</v>
      </c>
      <c r="D32" s="18">
        <v>2</v>
      </c>
      <c r="E32" s="18">
        <v>3</v>
      </c>
      <c r="F32" s="18">
        <v>4</v>
      </c>
      <c r="G32" s="25">
        <v>5</v>
      </c>
      <c r="H32" s="25">
        <v>6</v>
      </c>
      <c r="I32" s="25">
        <v>7</v>
      </c>
      <c r="J32" s="25">
        <v>8</v>
      </c>
      <c r="K32" s="25">
        <v>9</v>
      </c>
      <c r="L32" s="25">
        <v>10</v>
      </c>
      <c r="M32" s="25">
        <v>11</v>
      </c>
      <c r="N32" s="25">
        <v>12</v>
      </c>
      <c r="O32" s="25">
        <v>13</v>
      </c>
      <c r="P32" s="25">
        <v>14</v>
      </c>
      <c r="Q32" s="25">
        <v>15</v>
      </c>
      <c r="R32" s="25">
        <v>16</v>
      </c>
      <c r="S32" s="25">
        <v>17</v>
      </c>
      <c r="T32" s="25">
        <v>18</v>
      </c>
      <c r="U32" s="25">
        <v>19</v>
      </c>
      <c r="V32" s="25">
        <v>20</v>
      </c>
      <c r="W32" s="25">
        <v>21</v>
      </c>
      <c r="X32" s="25">
        <v>22</v>
      </c>
      <c r="Y32" s="25">
        <v>23</v>
      </c>
      <c r="Z32" s="25">
        <v>24</v>
      </c>
      <c r="AA32" s="25">
        <v>25</v>
      </c>
      <c r="AB32" s="25">
        <v>26</v>
      </c>
      <c r="AC32" s="25">
        <v>27</v>
      </c>
      <c r="AD32" s="25">
        <v>28</v>
      </c>
      <c r="AE32" s="25">
        <v>29</v>
      </c>
      <c r="AF32" s="25">
        <v>30</v>
      </c>
      <c r="AG32" s="25">
        <v>31</v>
      </c>
      <c r="AH32" s="25">
        <v>32</v>
      </c>
      <c r="AI32" s="25">
        <v>33</v>
      </c>
      <c r="AJ32" s="25">
        <v>34</v>
      </c>
      <c r="AK32" s="25">
        <v>35</v>
      </c>
      <c r="AL32" s="25">
        <v>36</v>
      </c>
      <c r="AM32" s="25">
        <v>37</v>
      </c>
      <c r="AN32" s="25">
        <v>38</v>
      </c>
      <c r="AO32" s="25">
        <v>39</v>
      </c>
      <c r="AP32" s="25">
        <v>40</v>
      </c>
    </row>
    <row r="33" spans="1:42" x14ac:dyDescent="0.35">
      <c r="A33" s="17" t="s">
        <v>52</v>
      </c>
      <c r="B33" s="52"/>
      <c r="C33" s="24">
        <f>C27-($C$22*C32)</f>
        <v>0.11925871794871795</v>
      </c>
      <c r="D33" s="24">
        <f t="shared" ref="D33:Z33" si="37">D27-($C$22*D32)</f>
        <v>0.2385174358974359</v>
      </c>
      <c r="E33" s="24">
        <f t="shared" si="37"/>
        <v>0.35777615384615391</v>
      </c>
      <c r="F33" s="24">
        <f t="shared" si="37"/>
        <v>0.47703487179487181</v>
      </c>
      <c r="G33" s="24">
        <f t="shared" si="37"/>
        <v>0.5962935897435897</v>
      </c>
      <c r="H33" s="24">
        <f t="shared" si="37"/>
        <v>0.71555230769230782</v>
      </c>
      <c r="I33" s="24">
        <f t="shared" si="37"/>
        <v>0.83481102564102594</v>
      </c>
      <c r="J33" s="24">
        <f t="shared" si="37"/>
        <v>0.95406974358974361</v>
      </c>
      <c r="K33" s="24">
        <f t="shared" si="37"/>
        <v>1.0733284615384613</v>
      </c>
      <c r="L33" s="24">
        <f t="shared" si="37"/>
        <v>1.1925871794871794</v>
      </c>
      <c r="M33" s="24">
        <f t="shared" si="37"/>
        <v>1.3118458974358971</v>
      </c>
      <c r="N33" s="24">
        <f t="shared" si="37"/>
        <v>1.4311046153846156</v>
      </c>
      <c r="O33" s="24">
        <f t="shared" si="37"/>
        <v>1.5503633333333338</v>
      </c>
      <c r="P33" s="24">
        <f t="shared" si="37"/>
        <v>1.6696220512820519</v>
      </c>
      <c r="Q33" s="24">
        <f t="shared" si="37"/>
        <v>1.7888807692307696</v>
      </c>
      <c r="R33" s="24">
        <f t="shared" si="37"/>
        <v>1.9081394871794872</v>
      </c>
      <c r="S33" s="24">
        <f t="shared" si="37"/>
        <v>2.0273982051282049</v>
      </c>
      <c r="T33" s="24">
        <f t="shared" si="37"/>
        <v>2.1466569230769226</v>
      </c>
      <c r="U33" s="24">
        <f t="shared" si="37"/>
        <v>2.2659156410256411</v>
      </c>
      <c r="V33" s="24">
        <f t="shared" si="37"/>
        <v>2.3851743589743588</v>
      </c>
      <c r="W33" s="24">
        <f t="shared" si="37"/>
        <v>2.5044330769230774</v>
      </c>
      <c r="X33" s="24">
        <f t="shared" si="37"/>
        <v>2.6236917948717942</v>
      </c>
      <c r="Y33" s="24">
        <f t="shared" si="37"/>
        <v>2.7429505128205127</v>
      </c>
      <c r="Z33" s="24">
        <f t="shared" si="37"/>
        <v>2.8622092307692313</v>
      </c>
      <c r="AA33" s="24">
        <f t="shared" ref="AA33:AP33" si="38">AA27-($C$22*AA32)</f>
        <v>2.981467948717949</v>
      </c>
      <c r="AB33" s="24">
        <f t="shared" si="38"/>
        <v>3.1007266666666675</v>
      </c>
      <c r="AC33" s="24">
        <f t="shared" si="38"/>
        <v>3.2199853846153843</v>
      </c>
      <c r="AD33" s="24">
        <f t="shared" si="38"/>
        <v>3.3392441025641038</v>
      </c>
      <c r="AE33" s="24">
        <f t="shared" si="38"/>
        <v>3.4585028205128197</v>
      </c>
      <c r="AF33" s="24">
        <f t="shared" si="38"/>
        <v>3.5777615384615391</v>
      </c>
      <c r="AG33" s="24">
        <f t="shared" si="38"/>
        <v>3.697020256410255</v>
      </c>
      <c r="AH33" s="24">
        <f t="shared" si="38"/>
        <v>3.8162789743589745</v>
      </c>
      <c r="AI33" s="24">
        <f t="shared" si="38"/>
        <v>3.9355376923076939</v>
      </c>
      <c r="AJ33" s="24">
        <f t="shared" si="38"/>
        <v>4.0547964102564098</v>
      </c>
      <c r="AK33" s="24">
        <f t="shared" si="38"/>
        <v>4.1740551282051293</v>
      </c>
      <c r="AL33" s="24">
        <f t="shared" si="38"/>
        <v>4.2933138461538451</v>
      </c>
      <c r="AM33" s="24">
        <f t="shared" si="38"/>
        <v>4.4125725641025646</v>
      </c>
      <c r="AN33" s="24">
        <f t="shared" si="38"/>
        <v>4.5318312820512823</v>
      </c>
      <c r="AO33" s="24">
        <f t="shared" si="38"/>
        <v>4.6510899999999999</v>
      </c>
      <c r="AP33" s="24">
        <f t="shared" si="38"/>
        <v>4.7703487179487176</v>
      </c>
    </row>
    <row r="34" spans="1:42" x14ac:dyDescent="0.35">
      <c r="A34" s="17" t="s">
        <v>53</v>
      </c>
      <c r="B34" s="52"/>
      <c r="C34" s="24">
        <f>C28-C27</f>
        <v>0.12817487211538459</v>
      </c>
      <c r="D34" s="24">
        <f>D28-D27</f>
        <v>0.25634974423076917</v>
      </c>
      <c r="E34" s="24">
        <f t="shared" ref="E34:F34" si="39">E28-E27</f>
        <v>0.38452461634615354</v>
      </c>
      <c r="F34" s="24">
        <f t="shared" si="39"/>
        <v>0.51269948846153834</v>
      </c>
      <c r="G34" s="24">
        <f>G28-G27</f>
        <v>0.64087436057692315</v>
      </c>
      <c r="H34" s="24">
        <f t="shared" ref="H34:L34" si="40">H28-H27</f>
        <v>0.76904923269230707</v>
      </c>
      <c r="I34" s="24">
        <f t="shared" si="40"/>
        <v>0.89722410480769188</v>
      </c>
      <c r="J34" s="24">
        <f t="shared" si="40"/>
        <v>1.0253989769230767</v>
      </c>
      <c r="K34" s="24">
        <f t="shared" si="40"/>
        <v>1.1535738490384615</v>
      </c>
      <c r="L34" s="24">
        <f t="shared" si="40"/>
        <v>1.2817487211538463</v>
      </c>
      <c r="M34" s="24">
        <f t="shared" ref="M34:V34" si="41">M28-M27</f>
        <v>1.4099235932692311</v>
      </c>
      <c r="N34" s="24">
        <f t="shared" si="41"/>
        <v>1.5380984653846141</v>
      </c>
      <c r="O34" s="24">
        <f t="shared" si="41"/>
        <v>1.666273337499999</v>
      </c>
      <c r="P34" s="24">
        <f t="shared" si="41"/>
        <v>1.7944482096153838</v>
      </c>
      <c r="Q34" s="24">
        <f t="shared" si="41"/>
        <v>1.9226230817307686</v>
      </c>
      <c r="R34" s="24">
        <f t="shared" si="41"/>
        <v>2.0507979538461534</v>
      </c>
      <c r="S34" s="24">
        <f t="shared" si="41"/>
        <v>2.1789728259615382</v>
      </c>
      <c r="T34" s="24">
        <f t="shared" si="41"/>
        <v>2.307147698076923</v>
      </c>
      <c r="U34" s="24">
        <f t="shared" si="41"/>
        <v>2.4353225701923078</v>
      </c>
      <c r="V34" s="24">
        <f t="shared" si="41"/>
        <v>2.5634974423076926</v>
      </c>
      <c r="W34" s="24">
        <f t="shared" ref="W34:Z34" si="42">W28-W27</f>
        <v>2.6916723144230765</v>
      </c>
      <c r="X34" s="24">
        <f t="shared" si="42"/>
        <v>2.8198471865384622</v>
      </c>
      <c r="Y34" s="24">
        <f t="shared" si="42"/>
        <v>2.9480220586538461</v>
      </c>
      <c r="Z34" s="24">
        <f t="shared" si="42"/>
        <v>3.0761969307692283</v>
      </c>
      <c r="AA34" s="24">
        <f t="shared" ref="AA34:AP34" si="43">AA28-AA27</f>
        <v>3.204371802884614</v>
      </c>
      <c r="AB34" s="24">
        <f t="shared" si="43"/>
        <v>3.3325466749999979</v>
      </c>
      <c r="AC34" s="24">
        <f t="shared" si="43"/>
        <v>3.4607215471153836</v>
      </c>
      <c r="AD34" s="24">
        <f t="shared" si="43"/>
        <v>3.5888964192307675</v>
      </c>
      <c r="AE34" s="24">
        <f t="shared" si="43"/>
        <v>3.7170712913461532</v>
      </c>
      <c r="AF34" s="24">
        <f t="shared" si="43"/>
        <v>3.8452461634615371</v>
      </c>
      <c r="AG34" s="24">
        <f t="shared" si="43"/>
        <v>3.9734210355769246</v>
      </c>
      <c r="AH34" s="24">
        <f t="shared" si="43"/>
        <v>4.1015959076923068</v>
      </c>
      <c r="AI34" s="24">
        <f t="shared" si="43"/>
        <v>4.2297707798076889</v>
      </c>
      <c r="AJ34" s="24">
        <f t="shared" si="43"/>
        <v>4.3579456519230764</v>
      </c>
      <c r="AK34" s="24">
        <f t="shared" si="43"/>
        <v>4.4861205240384585</v>
      </c>
      <c r="AL34" s="24">
        <f t="shared" si="43"/>
        <v>4.614295396153846</v>
      </c>
      <c r="AM34" s="24">
        <f t="shared" si="43"/>
        <v>4.7424702682692281</v>
      </c>
      <c r="AN34" s="24">
        <f t="shared" si="43"/>
        <v>4.8706451403846156</v>
      </c>
      <c r="AO34" s="24">
        <f t="shared" si="43"/>
        <v>4.9988200124999977</v>
      </c>
      <c r="AP34" s="24">
        <f t="shared" si="43"/>
        <v>5.1269948846153852</v>
      </c>
    </row>
    <row r="35" spans="1:42" x14ac:dyDescent="0.35">
      <c r="A35" s="49" t="s">
        <v>234</v>
      </c>
    </row>
    <row r="37" spans="1:42" x14ac:dyDescent="0.35">
      <c r="A37" s="2" t="s">
        <v>236</v>
      </c>
      <c r="B37" s="56"/>
      <c r="C37" s="47">
        <v>1</v>
      </c>
      <c r="D37" s="47">
        <v>2</v>
      </c>
      <c r="E37" s="47">
        <v>3</v>
      </c>
      <c r="F37" s="47">
        <v>4</v>
      </c>
      <c r="G37" s="48">
        <v>5</v>
      </c>
      <c r="H37" s="48">
        <v>6</v>
      </c>
      <c r="I37" s="48">
        <v>7</v>
      </c>
      <c r="J37" s="48">
        <v>8</v>
      </c>
      <c r="K37" s="48">
        <v>9</v>
      </c>
      <c r="L37" s="48">
        <v>10</v>
      </c>
      <c r="M37" s="48">
        <v>11</v>
      </c>
      <c r="N37" s="48">
        <v>12</v>
      </c>
      <c r="O37" s="48">
        <v>13</v>
      </c>
      <c r="P37" s="48">
        <v>14</v>
      </c>
      <c r="Q37" s="48">
        <v>15</v>
      </c>
      <c r="R37" s="48">
        <v>16</v>
      </c>
      <c r="S37" s="48">
        <v>17</v>
      </c>
      <c r="T37" s="48">
        <v>18</v>
      </c>
      <c r="U37" s="48">
        <v>19</v>
      </c>
      <c r="V37" s="48">
        <v>20</v>
      </c>
      <c r="W37" s="48">
        <v>21</v>
      </c>
      <c r="X37" s="48">
        <v>22</v>
      </c>
      <c r="Y37" s="48">
        <v>23</v>
      </c>
      <c r="Z37" s="48">
        <v>24</v>
      </c>
      <c r="AA37" s="48">
        <v>25</v>
      </c>
      <c r="AB37" s="48">
        <v>26</v>
      </c>
      <c r="AC37" s="48">
        <v>27</v>
      </c>
      <c r="AD37" s="48">
        <v>28</v>
      </c>
      <c r="AE37" s="48">
        <v>29</v>
      </c>
      <c r="AF37" s="48">
        <v>30</v>
      </c>
      <c r="AG37" s="48">
        <v>31</v>
      </c>
      <c r="AH37" s="48">
        <v>32</v>
      </c>
      <c r="AI37" s="48">
        <v>33</v>
      </c>
      <c r="AJ37" s="48">
        <v>34</v>
      </c>
      <c r="AK37" s="48">
        <v>35</v>
      </c>
      <c r="AL37" s="48">
        <v>36</v>
      </c>
      <c r="AM37" s="48">
        <v>37</v>
      </c>
      <c r="AN37" s="48">
        <v>38</v>
      </c>
      <c r="AO37" s="48">
        <v>39</v>
      </c>
      <c r="AP37" s="48">
        <v>40</v>
      </c>
    </row>
    <row r="38" spans="1:42" x14ac:dyDescent="0.35">
      <c r="A38" s="7" t="s">
        <v>238</v>
      </c>
      <c r="B38" s="56"/>
      <c r="C38" s="59">
        <f>IF($D$22=0,0,(C27)/$D$22)</f>
        <v>3.5000000000000003E-2</v>
      </c>
      <c r="D38" s="59">
        <f t="shared" ref="D38:Z38" si="44">IF($D$22=0,0,(D27)/$D$22)</f>
        <v>7.0000000000000007E-2</v>
      </c>
      <c r="E38" s="59">
        <f t="shared" si="44"/>
        <v>0.10500000000000001</v>
      </c>
      <c r="F38" s="59">
        <f t="shared" si="44"/>
        <v>0.14000000000000001</v>
      </c>
      <c r="G38" s="59">
        <f t="shared" si="44"/>
        <v>0.17499999999999999</v>
      </c>
      <c r="H38" s="59">
        <f t="shared" si="44"/>
        <v>0.21000000000000002</v>
      </c>
      <c r="I38" s="59">
        <f t="shared" si="44"/>
        <v>0.24500000000000002</v>
      </c>
      <c r="J38" s="59">
        <f t="shared" si="44"/>
        <v>0.28000000000000003</v>
      </c>
      <c r="K38" s="59">
        <f t="shared" si="44"/>
        <v>0.315</v>
      </c>
      <c r="L38" s="59">
        <f t="shared" si="44"/>
        <v>0.35</v>
      </c>
      <c r="M38" s="59">
        <f t="shared" si="44"/>
        <v>0.38499999999999995</v>
      </c>
      <c r="N38" s="59">
        <f t="shared" si="44"/>
        <v>0.42000000000000004</v>
      </c>
      <c r="O38" s="59">
        <f t="shared" si="44"/>
        <v>0.45500000000000002</v>
      </c>
      <c r="P38" s="59">
        <f t="shared" si="44"/>
        <v>0.49000000000000005</v>
      </c>
      <c r="Q38" s="59">
        <f t="shared" si="44"/>
        <v>0.52500000000000002</v>
      </c>
      <c r="R38" s="59">
        <f t="shared" si="44"/>
        <v>0.56000000000000005</v>
      </c>
      <c r="S38" s="59">
        <f t="shared" si="44"/>
        <v>0.59499999999999997</v>
      </c>
      <c r="T38" s="59">
        <f t="shared" si="44"/>
        <v>0.63</v>
      </c>
      <c r="U38" s="59">
        <f t="shared" si="44"/>
        <v>0.66499999999999992</v>
      </c>
      <c r="V38" s="59">
        <f t="shared" si="44"/>
        <v>0.7</v>
      </c>
      <c r="W38" s="59">
        <f t="shared" si="44"/>
        <v>0.73499999999999999</v>
      </c>
      <c r="X38" s="59">
        <f t="shared" si="44"/>
        <v>0.76999999999999991</v>
      </c>
      <c r="Y38" s="59">
        <f t="shared" si="44"/>
        <v>0.80500000000000005</v>
      </c>
      <c r="Z38" s="59">
        <f t="shared" si="44"/>
        <v>0.84000000000000008</v>
      </c>
      <c r="AA38" s="59">
        <f t="shared" ref="AA38:AP38" si="45">IF($D$22=0,0,(AA27)/$D$22)</f>
        <v>0.875</v>
      </c>
      <c r="AB38" s="59">
        <f t="shared" si="45"/>
        <v>0.91</v>
      </c>
      <c r="AC38" s="59">
        <f t="shared" si="45"/>
        <v>0.94499999999999995</v>
      </c>
      <c r="AD38" s="59">
        <f t="shared" si="45"/>
        <v>0.98000000000000009</v>
      </c>
      <c r="AE38" s="59">
        <f t="shared" si="45"/>
        <v>1.0149999999999999</v>
      </c>
      <c r="AF38" s="59">
        <f t="shared" si="45"/>
        <v>1.05</v>
      </c>
      <c r="AG38" s="59">
        <f t="shared" si="45"/>
        <v>1.085</v>
      </c>
      <c r="AH38" s="59">
        <f t="shared" si="45"/>
        <v>1.1200000000000001</v>
      </c>
      <c r="AI38" s="59">
        <f t="shared" si="45"/>
        <v>1.155</v>
      </c>
      <c r="AJ38" s="59">
        <f t="shared" si="45"/>
        <v>1.19</v>
      </c>
      <c r="AK38" s="59">
        <f t="shared" si="45"/>
        <v>1.2250000000000001</v>
      </c>
      <c r="AL38" s="59">
        <f t="shared" si="45"/>
        <v>1.26</v>
      </c>
      <c r="AM38" s="59">
        <f t="shared" si="45"/>
        <v>1.2950000000000002</v>
      </c>
      <c r="AN38" s="59">
        <f t="shared" si="45"/>
        <v>1.3299999999999998</v>
      </c>
      <c r="AO38" s="59">
        <f t="shared" si="45"/>
        <v>1.365</v>
      </c>
      <c r="AP38" s="59">
        <f t="shared" si="45"/>
        <v>1.4</v>
      </c>
    </row>
    <row r="39" spans="1:42" x14ac:dyDescent="0.35">
      <c r="A39" s="7" t="s">
        <v>237</v>
      </c>
      <c r="B39" s="56"/>
      <c r="C39" s="24">
        <f>C34</f>
        <v>0.12817487211538459</v>
      </c>
      <c r="D39" s="24">
        <f t="shared" ref="D39:H39" si="46">D34</f>
        <v>0.25634974423076917</v>
      </c>
      <c r="E39" s="24">
        <f t="shared" si="46"/>
        <v>0.38452461634615354</v>
      </c>
      <c r="F39" s="24">
        <f t="shared" si="46"/>
        <v>0.51269948846153834</v>
      </c>
      <c r="G39" s="24">
        <f t="shared" si="46"/>
        <v>0.64087436057692315</v>
      </c>
      <c r="H39" s="24">
        <f t="shared" si="46"/>
        <v>0.76904923269230707</v>
      </c>
      <c r="I39" s="24">
        <f t="shared" ref="I39:Z39" si="47">I34</f>
        <v>0.89722410480769188</v>
      </c>
      <c r="J39" s="24">
        <f t="shared" si="47"/>
        <v>1.0253989769230767</v>
      </c>
      <c r="K39" s="24">
        <f t="shared" si="47"/>
        <v>1.1535738490384615</v>
      </c>
      <c r="L39" s="24">
        <f t="shared" si="47"/>
        <v>1.2817487211538463</v>
      </c>
      <c r="M39" s="24">
        <f t="shared" si="47"/>
        <v>1.4099235932692311</v>
      </c>
      <c r="N39" s="24">
        <f t="shared" si="47"/>
        <v>1.5380984653846141</v>
      </c>
      <c r="O39" s="24">
        <f t="shared" si="47"/>
        <v>1.666273337499999</v>
      </c>
      <c r="P39" s="24">
        <f t="shared" si="47"/>
        <v>1.7944482096153838</v>
      </c>
      <c r="Q39" s="24">
        <f t="shared" si="47"/>
        <v>1.9226230817307686</v>
      </c>
      <c r="R39" s="24">
        <f t="shared" si="47"/>
        <v>2.0507979538461534</v>
      </c>
      <c r="S39" s="24">
        <f t="shared" si="47"/>
        <v>2.1789728259615382</v>
      </c>
      <c r="T39" s="24">
        <f t="shared" si="47"/>
        <v>2.307147698076923</v>
      </c>
      <c r="U39" s="24">
        <f t="shared" si="47"/>
        <v>2.4353225701923078</v>
      </c>
      <c r="V39" s="24">
        <f t="shared" si="47"/>
        <v>2.5634974423076926</v>
      </c>
      <c r="W39" s="24">
        <f t="shared" si="47"/>
        <v>2.6916723144230765</v>
      </c>
      <c r="X39" s="24">
        <f t="shared" si="47"/>
        <v>2.8198471865384622</v>
      </c>
      <c r="Y39" s="24">
        <f t="shared" si="47"/>
        <v>2.9480220586538461</v>
      </c>
      <c r="Z39" s="24">
        <f t="shared" si="47"/>
        <v>3.0761969307692283</v>
      </c>
      <c r="AA39" s="24">
        <f t="shared" ref="AA39:AP39" si="48">AA34</f>
        <v>3.204371802884614</v>
      </c>
      <c r="AB39" s="24">
        <f t="shared" si="48"/>
        <v>3.3325466749999979</v>
      </c>
      <c r="AC39" s="24">
        <f t="shared" si="48"/>
        <v>3.4607215471153836</v>
      </c>
      <c r="AD39" s="24">
        <f t="shared" si="48"/>
        <v>3.5888964192307675</v>
      </c>
      <c r="AE39" s="24">
        <f t="shared" si="48"/>
        <v>3.7170712913461532</v>
      </c>
      <c r="AF39" s="24">
        <f t="shared" si="48"/>
        <v>3.8452461634615371</v>
      </c>
      <c r="AG39" s="24">
        <f t="shared" si="48"/>
        <v>3.9734210355769246</v>
      </c>
      <c r="AH39" s="24">
        <f t="shared" si="48"/>
        <v>4.1015959076923068</v>
      </c>
      <c r="AI39" s="24">
        <f t="shared" si="48"/>
        <v>4.2297707798076889</v>
      </c>
      <c r="AJ39" s="24">
        <f t="shared" si="48"/>
        <v>4.3579456519230764</v>
      </c>
      <c r="AK39" s="24">
        <f t="shared" si="48"/>
        <v>4.4861205240384585</v>
      </c>
      <c r="AL39" s="24">
        <f t="shared" si="48"/>
        <v>4.614295396153846</v>
      </c>
      <c r="AM39" s="24">
        <f t="shared" si="48"/>
        <v>4.7424702682692281</v>
      </c>
      <c r="AN39" s="24">
        <f t="shared" si="48"/>
        <v>4.8706451403846156</v>
      </c>
      <c r="AO39" s="24">
        <f t="shared" si="48"/>
        <v>4.9988200124999977</v>
      </c>
      <c r="AP39" s="24">
        <f t="shared" si="48"/>
        <v>5.1269948846153852</v>
      </c>
    </row>
    <row r="41" spans="1:42" s="60" customFormat="1" x14ac:dyDescent="0.35">
      <c r="A41" s="71" t="s">
        <v>384</v>
      </c>
      <c r="B41" s="76"/>
      <c r="C41" s="111"/>
      <c r="D41" s="111"/>
      <c r="E41" s="111"/>
      <c r="F41" s="111"/>
      <c r="G41" s="111"/>
      <c r="H41" s="111"/>
      <c r="I41" s="111"/>
      <c r="J41" s="111"/>
    </row>
    <row r="42" spans="1:42" s="60" customFormat="1" x14ac:dyDescent="0.35">
      <c r="B42" s="57"/>
      <c r="C42" s="15"/>
      <c r="D42" s="15"/>
      <c r="E42" s="15"/>
      <c r="F42" s="15"/>
      <c r="G42" s="15"/>
      <c r="H42" s="15"/>
      <c r="I42" s="15"/>
      <c r="J42" s="15"/>
    </row>
    <row r="43" spans="1:42" s="60" customFormat="1" ht="43.5" x14ac:dyDescent="0.35">
      <c r="A43" s="109" t="s">
        <v>385</v>
      </c>
      <c r="B43" s="112">
        <v>0.15</v>
      </c>
      <c r="C43" s="48">
        <v>1</v>
      </c>
      <c r="D43" s="48">
        <v>2</v>
      </c>
      <c r="E43" s="48">
        <v>3</v>
      </c>
      <c r="F43" s="48">
        <v>4</v>
      </c>
      <c r="G43" s="48">
        <v>5</v>
      </c>
      <c r="H43" s="48">
        <v>6</v>
      </c>
      <c r="I43" s="48">
        <v>7</v>
      </c>
      <c r="J43" s="48">
        <v>8</v>
      </c>
      <c r="K43" s="48">
        <v>9</v>
      </c>
      <c r="L43" s="48">
        <v>10</v>
      </c>
      <c r="M43" s="48">
        <v>11</v>
      </c>
      <c r="N43" s="48">
        <v>12</v>
      </c>
      <c r="O43" s="48">
        <v>13</v>
      </c>
      <c r="P43" s="48">
        <v>14</v>
      </c>
      <c r="Q43" s="48">
        <v>15</v>
      </c>
      <c r="R43" s="48">
        <v>16</v>
      </c>
      <c r="S43" s="48">
        <v>17</v>
      </c>
      <c r="T43" s="48">
        <v>18</v>
      </c>
      <c r="U43" s="48">
        <v>19</v>
      </c>
      <c r="V43" s="48">
        <v>20</v>
      </c>
      <c r="W43" s="48">
        <v>21</v>
      </c>
      <c r="X43" s="48">
        <v>22</v>
      </c>
      <c r="Y43" s="48">
        <v>23</v>
      </c>
      <c r="Z43" s="48">
        <v>24</v>
      </c>
      <c r="AA43" s="48">
        <v>25</v>
      </c>
      <c r="AB43" s="48">
        <v>26</v>
      </c>
      <c r="AC43" s="48">
        <v>27</v>
      </c>
      <c r="AD43" s="48">
        <v>28</v>
      </c>
      <c r="AE43" s="48">
        <v>29</v>
      </c>
      <c r="AF43" s="48">
        <v>30</v>
      </c>
      <c r="AG43" s="48">
        <v>31</v>
      </c>
      <c r="AH43" s="48">
        <v>32</v>
      </c>
      <c r="AI43" s="48">
        <v>33</v>
      </c>
      <c r="AJ43" s="48">
        <v>34</v>
      </c>
      <c r="AK43" s="48">
        <v>35</v>
      </c>
      <c r="AL43" s="48">
        <v>36</v>
      </c>
      <c r="AM43" s="48">
        <v>37</v>
      </c>
      <c r="AN43" s="48">
        <v>38</v>
      </c>
      <c r="AO43" s="48">
        <v>39</v>
      </c>
      <c r="AP43" s="48">
        <v>40</v>
      </c>
    </row>
    <row r="44" spans="1:42" s="60" customFormat="1" x14ac:dyDescent="0.35">
      <c r="A44" s="11" t="s">
        <v>382</v>
      </c>
      <c r="B44" s="110"/>
      <c r="C44" s="24">
        <f>($C$22-$C$22*5.5%)*C43</f>
        <v>0.28174872115384619</v>
      </c>
      <c r="D44" s="24">
        <f t="shared" ref="D44:J44" si="49">($C$22-$C$22*5.5%)*D43</f>
        <v>0.56349744230769239</v>
      </c>
      <c r="E44" s="24">
        <f t="shared" si="49"/>
        <v>0.84524616346153858</v>
      </c>
      <c r="F44" s="24">
        <f t="shared" si="49"/>
        <v>1.1269948846153848</v>
      </c>
      <c r="G44" s="24">
        <f t="shared" si="49"/>
        <v>1.4087436057692311</v>
      </c>
      <c r="H44" s="24">
        <f t="shared" si="49"/>
        <v>1.6904923269230772</v>
      </c>
      <c r="I44" s="24">
        <f t="shared" si="49"/>
        <v>1.9722410480769232</v>
      </c>
      <c r="J44" s="24">
        <f t="shared" si="49"/>
        <v>2.2539897692307695</v>
      </c>
      <c r="K44" s="24">
        <f t="shared" ref="K44" si="50">($C$22-$C$22*5.5%)*K43</f>
        <v>2.5357384903846159</v>
      </c>
      <c r="L44" s="24">
        <f t="shared" ref="L44" si="51">($C$22-$C$22*5.5%)*L43</f>
        <v>2.8174872115384622</v>
      </c>
      <c r="M44" s="24">
        <f t="shared" ref="M44" si="52">($C$22-$C$22*5.5%)*M43</f>
        <v>3.099235932692308</v>
      </c>
      <c r="N44" s="24">
        <f t="shared" ref="N44" si="53">($C$22-$C$22*5.5%)*N43</f>
        <v>3.3809846538461543</v>
      </c>
      <c r="O44" s="24">
        <f t="shared" ref="O44" si="54">($C$22-$C$22*5.5%)*O43</f>
        <v>3.6627333750000006</v>
      </c>
      <c r="P44" s="24">
        <f t="shared" ref="P44" si="55">($C$22-$C$22*5.5%)*P43</f>
        <v>3.9444820961538465</v>
      </c>
      <c r="Q44" s="24">
        <f t="shared" ref="Q44" si="56">($C$22-$C$22*5.5%)*Q43</f>
        <v>4.2262308173076928</v>
      </c>
      <c r="R44" s="24">
        <f t="shared" ref="R44" si="57">($C$22-$C$22*5.5%)*R43</f>
        <v>4.5079795384615391</v>
      </c>
      <c r="S44" s="24">
        <f t="shared" ref="S44" si="58">($C$22-$C$22*5.5%)*S43</f>
        <v>4.7897282596153854</v>
      </c>
      <c r="T44" s="24">
        <f t="shared" ref="T44" si="59">($C$22-$C$22*5.5%)*T43</f>
        <v>5.0714769807692317</v>
      </c>
      <c r="U44" s="24">
        <f t="shared" ref="U44" si="60">($C$22-$C$22*5.5%)*U43</f>
        <v>5.353225701923078</v>
      </c>
      <c r="V44" s="24">
        <f t="shared" ref="V44" si="61">($C$22-$C$22*5.5%)*V43</f>
        <v>5.6349744230769243</v>
      </c>
      <c r="W44" s="24">
        <f t="shared" ref="W44" si="62">($C$22-$C$22*5.5%)*W43</f>
        <v>5.9167231442307697</v>
      </c>
      <c r="X44" s="24">
        <f t="shared" ref="X44" si="63">($C$22-$C$22*5.5%)*X43</f>
        <v>6.198471865384616</v>
      </c>
      <c r="Y44" s="24">
        <f t="shared" ref="Y44" si="64">($C$22-$C$22*5.5%)*Y43</f>
        <v>6.4802205865384623</v>
      </c>
      <c r="Z44" s="24">
        <f t="shared" ref="Z44" si="65">($C$22-$C$22*5.5%)*Z43</f>
        <v>6.7619693076923086</v>
      </c>
      <c r="AA44" s="24">
        <f t="shared" ref="AA44" si="66">($C$22-$C$22*5.5%)*AA43</f>
        <v>7.0437180288461549</v>
      </c>
      <c r="AB44" s="24">
        <f t="shared" ref="AB44" si="67">($C$22-$C$22*5.5%)*AB43</f>
        <v>7.3254667500000012</v>
      </c>
      <c r="AC44" s="24">
        <f t="shared" ref="AC44" si="68">($C$22-$C$22*5.5%)*AC43</f>
        <v>7.6072154711538476</v>
      </c>
      <c r="AD44" s="24">
        <f t="shared" ref="AD44" si="69">($C$22-$C$22*5.5%)*AD43</f>
        <v>7.888964192307693</v>
      </c>
      <c r="AE44" s="24">
        <f t="shared" ref="AE44" si="70">($C$22-$C$22*5.5%)*AE43</f>
        <v>8.1707129134615393</v>
      </c>
      <c r="AF44" s="24">
        <f t="shared" ref="AF44" si="71">($C$22-$C$22*5.5%)*AF43</f>
        <v>8.4524616346153856</v>
      </c>
      <c r="AG44" s="24">
        <f t="shared" ref="AG44" si="72">($C$22-$C$22*5.5%)*AG43</f>
        <v>8.7342103557692319</v>
      </c>
      <c r="AH44" s="24">
        <f t="shared" ref="AH44" si="73">($C$22-$C$22*5.5%)*AH43</f>
        <v>9.0159590769230782</v>
      </c>
      <c r="AI44" s="24">
        <f t="shared" ref="AI44" si="74">($C$22-$C$22*5.5%)*AI43</f>
        <v>9.2977077980769245</v>
      </c>
      <c r="AJ44" s="24">
        <f t="shared" ref="AJ44" si="75">($C$22-$C$22*5.5%)*AJ43</f>
        <v>9.5794565192307708</v>
      </c>
      <c r="AK44" s="24">
        <f t="shared" ref="AK44" si="76">($C$22-$C$22*5.5%)*AK43</f>
        <v>9.8612052403846171</v>
      </c>
      <c r="AL44" s="24">
        <f t="shared" ref="AL44" si="77">($C$22-$C$22*5.5%)*AL43</f>
        <v>10.142953961538463</v>
      </c>
      <c r="AM44" s="24">
        <f t="shared" ref="AM44" si="78">($C$22-$C$22*5.5%)*AM43</f>
        <v>10.42470268269231</v>
      </c>
      <c r="AN44" s="24">
        <f t="shared" ref="AN44" si="79">($C$22-$C$22*5.5%)*AN43</f>
        <v>10.706451403846156</v>
      </c>
      <c r="AO44" s="24">
        <f t="shared" ref="AO44" si="80">($C$22-$C$22*5.5%)*AO43</f>
        <v>10.988200125000002</v>
      </c>
      <c r="AP44" s="24">
        <f t="shared" ref="AP44" si="81">($C$22-$C$22*5.5%)*AP43</f>
        <v>11.269948846153849</v>
      </c>
    </row>
    <row r="45" spans="1:42" s="60" customFormat="1" x14ac:dyDescent="0.35">
      <c r="A45" s="11" t="s">
        <v>281</v>
      </c>
      <c r="B45" s="16"/>
      <c r="C45" s="115">
        <f>C44*$B$43</f>
        <v>4.2262308173076926E-2</v>
      </c>
      <c r="D45" s="115">
        <f t="shared" ref="D45:J45" si="82">D44*$B$43</f>
        <v>8.4524616346153852E-2</v>
      </c>
      <c r="E45" s="115">
        <f t="shared" si="82"/>
        <v>0.12678692451923079</v>
      </c>
      <c r="F45" s="115">
        <f t="shared" si="82"/>
        <v>0.1690492326923077</v>
      </c>
      <c r="G45" s="115">
        <f t="shared" si="82"/>
        <v>0.21131154086538464</v>
      </c>
      <c r="H45" s="115">
        <f t="shared" si="82"/>
        <v>0.25357384903846159</v>
      </c>
      <c r="I45" s="115">
        <f t="shared" si="82"/>
        <v>0.2958361572115385</v>
      </c>
      <c r="J45" s="115">
        <f t="shared" si="82"/>
        <v>0.33809846538461541</v>
      </c>
      <c r="K45" s="115">
        <f t="shared" ref="K45" si="83">K44*$B$43</f>
        <v>0.38036077355769238</v>
      </c>
      <c r="L45" s="115">
        <f t="shared" ref="L45" si="84">L44*$B$43</f>
        <v>0.42262308173076929</v>
      </c>
      <c r="M45" s="115">
        <f t="shared" ref="M45" si="85">M44*$B$43</f>
        <v>0.4648853899038462</v>
      </c>
      <c r="N45" s="115">
        <f t="shared" ref="N45" si="86">N44*$B$43</f>
        <v>0.50714769807692317</v>
      </c>
      <c r="O45" s="115">
        <f t="shared" ref="O45" si="87">O44*$B$43</f>
        <v>0.54941000625000003</v>
      </c>
      <c r="P45" s="115">
        <f t="shared" ref="P45" si="88">P44*$B$43</f>
        <v>0.59167231442307699</v>
      </c>
      <c r="Q45" s="115">
        <f t="shared" ref="Q45" si="89">Q44*$B$43</f>
        <v>0.63393462259615385</v>
      </c>
      <c r="R45" s="115">
        <f t="shared" ref="R45" si="90">R44*$B$43</f>
        <v>0.67619693076923082</v>
      </c>
      <c r="S45" s="115">
        <f t="shared" ref="S45" si="91">S44*$B$43</f>
        <v>0.71845923894230779</v>
      </c>
      <c r="T45" s="115">
        <f t="shared" ref="T45" si="92">T44*$B$43</f>
        <v>0.76072154711538476</v>
      </c>
      <c r="U45" s="115">
        <f t="shared" ref="U45" si="93">U44*$B$43</f>
        <v>0.80298385528846172</v>
      </c>
      <c r="V45" s="115">
        <f t="shared" ref="V45" si="94">V44*$B$43</f>
        <v>0.84524616346153858</v>
      </c>
      <c r="W45" s="115">
        <f t="shared" ref="W45" si="95">W44*$B$43</f>
        <v>0.88750847163461544</v>
      </c>
      <c r="X45" s="115">
        <f t="shared" ref="X45" si="96">X44*$B$43</f>
        <v>0.9297707798076924</v>
      </c>
      <c r="Y45" s="115">
        <f t="shared" ref="Y45" si="97">Y44*$B$43</f>
        <v>0.97203308798076926</v>
      </c>
      <c r="Z45" s="115">
        <f t="shared" ref="Z45" si="98">Z44*$B$43</f>
        <v>1.0142953961538463</v>
      </c>
      <c r="AA45" s="115">
        <f t="shared" ref="AA45" si="99">AA44*$B$43</f>
        <v>1.0565577043269232</v>
      </c>
      <c r="AB45" s="115">
        <f t="shared" ref="AB45" si="100">AB44*$B$43</f>
        <v>1.0988200125000001</v>
      </c>
      <c r="AC45" s="115">
        <f t="shared" ref="AC45" si="101">AC44*$B$43</f>
        <v>1.1410823206730771</v>
      </c>
      <c r="AD45" s="115">
        <f t="shared" ref="AD45" si="102">AD44*$B$43</f>
        <v>1.183344628846154</v>
      </c>
      <c r="AE45" s="115">
        <f t="shared" ref="AE45" si="103">AE44*$B$43</f>
        <v>1.2256069370192308</v>
      </c>
      <c r="AF45" s="115">
        <f t="shared" ref="AF45" si="104">AF44*$B$43</f>
        <v>1.2678692451923077</v>
      </c>
      <c r="AG45" s="115">
        <f t="shared" ref="AG45" si="105">AG44*$B$43</f>
        <v>1.3101315533653848</v>
      </c>
      <c r="AH45" s="115">
        <f t="shared" ref="AH45" si="106">AH44*$B$43</f>
        <v>1.3523938615384616</v>
      </c>
      <c r="AI45" s="115">
        <f t="shared" ref="AI45" si="107">AI44*$B$43</f>
        <v>1.3946561697115387</v>
      </c>
      <c r="AJ45" s="115">
        <f t="shared" ref="AJ45" si="108">AJ44*$B$43</f>
        <v>1.4369184778846156</v>
      </c>
      <c r="AK45" s="115">
        <f t="shared" ref="AK45" si="109">AK44*$B$43</f>
        <v>1.4791807860576924</v>
      </c>
      <c r="AL45" s="115">
        <f t="shared" ref="AL45" si="110">AL44*$B$43</f>
        <v>1.5214430942307695</v>
      </c>
      <c r="AM45" s="115">
        <f t="shared" ref="AM45" si="111">AM44*$B$43</f>
        <v>1.5637054024038464</v>
      </c>
      <c r="AN45" s="115">
        <f t="shared" ref="AN45" si="112">AN44*$B$43</f>
        <v>1.6059677105769234</v>
      </c>
      <c r="AO45" s="115">
        <f t="shared" ref="AO45" si="113">AO44*$B$43</f>
        <v>1.6482300187500003</v>
      </c>
      <c r="AP45" s="115">
        <f t="shared" ref="AP45" si="114">AP44*$B$43</f>
        <v>1.6904923269230772</v>
      </c>
    </row>
    <row r="46" spans="1:42" s="60" customFormat="1" x14ac:dyDescent="0.35">
      <c r="B46" s="57"/>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c r="AO46" s="114"/>
      <c r="AP46" s="114"/>
    </row>
    <row r="47" spans="1:42" s="60" customFormat="1" ht="43.5" x14ac:dyDescent="0.35">
      <c r="A47" s="109" t="s">
        <v>394</v>
      </c>
      <c r="B47" s="112">
        <v>0.1</v>
      </c>
      <c r="C47" s="48">
        <v>1</v>
      </c>
      <c r="D47" s="48">
        <v>2</v>
      </c>
      <c r="E47" s="48">
        <v>3</v>
      </c>
      <c r="F47" s="48">
        <v>4</v>
      </c>
      <c r="G47" s="48">
        <v>5</v>
      </c>
      <c r="H47" s="48">
        <v>6</v>
      </c>
      <c r="I47" s="48">
        <v>7</v>
      </c>
      <c r="J47" s="48">
        <v>8</v>
      </c>
      <c r="K47" s="48">
        <v>9</v>
      </c>
      <c r="L47" s="48">
        <v>10</v>
      </c>
      <c r="M47" s="48">
        <v>11</v>
      </c>
      <c r="N47" s="48">
        <v>12</v>
      </c>
      <c r="O47" s="48">
        <v>13</v>
      </c>
      <c r="P47" s="48">
        <v>14</v>
      </c>
      <c r="Q47" s="48">
        <v>15</v>
      </c>
      <c r="R47" s="48">
        <v>16</v>
      </c>
      <c r="S47" s="48">
        <v>17</v>
      </c>
      <c r="T47" s="48">
        <v>18</v>
      </c>
      <c r="U47" s="48">
        <v>19</v>
      </c>
      <c r="V47" s="48">
        <v>20</v>
      </c>
      <c r="W47" s="48">
        <v>21</v>
      </c>
      <c r="X47" s="48">
        <v>22</v>
      </c>
      <c r="Y47" s="48">
        <v>23</v>
      </c>
      <c r="Z47" s="48">
        <v>24</v>
      </c>
      <c r="AA47" s="48">
        <v>25</v>
      </c>
      <c r="AB47" s="48">
        <v>26</v>
      </c>
      <c r="AC47" s="48">
        <v>27</v>
      </c>
      <c r="AD47" s="48">
        <v>28</v>
      </c>
      <c r="AE47" s="48">
        <v>29</v>
      </c>
      <c r="AF47" s="48">
        <v>30</v>
      </c>
      <c r="AG47" s="48">
        <v>31</v>
      </c>
      <c r="AH47" s="48">
        <v>32</v>
      </c>
      <c r="AI47" s="48">
        <v>33</v>
      </c>
      <c r="AJ47" s="48">
        <v>34</v>
      </c>
      <c r="AK47" s="48">
        <v>35</v>
      </c>
      <c r="AL47" s="48">
        <v>36</v>
      </c>
      <c r="AM47" s="48">
        <v>37</v>
      </c>
      <c r="AN47" s="48">
        <v>38</v>
      </c>
      <c r="AO47" s="48">
        <v>39</v>
      </c>
      <c r="AP47" s="48">
        <v>40</v>
      </c>
    </row>
    <row r="48" spans="1:42" s="60" customFormat="1" x14ac:dyDescent="0.35">
      <c r="A48" s="11" t="s">
        <v>382</v>
      </c>
      <c r="B48" s="16"/>
      <c r="C48" s="24">
        <f>($C$22-$C$22*5.5%)*C47</f>
        <v>0.28174872115384619</v>
      </c>
      <c r="D48" s="24">
        <f t="shared" ref="D48:J48" si="115">($C$22-$C$22*5.5%)*D47</f>
        <v>0.56349744230769239</v>
      </c>
      <c r="E48" s="24">
        <f t="shared" si="115"/>
        <v>0.84524616346153858</v>
      </c>
      <c r="F48" s="24">
        <f t="shared" si="115"/>
        <v>1.1269948846153848</v>
      </c>
      <c r="G48" s="24">
        <f t="shared" si="115"/>
        <v>1.4087436057692311</v>
      </c>
      <c r="H48" s="24">
        <f t="shared" si="115"/>
        <v>1.6904923269230772</v>
      </c>
      <c r="I48" s="24">
        <f t="shared" si="115"/>
        <v>1.9722410480769232</v>
      </c>
      <c r="J48" s="24">
        <f t="shared" si="115"/>
        <v>2.2539897692307695</v>
      </c>
      <c r="K48" s="24">
        <f t="shared" ref="K48" si="116">($C$22-$C$22*5.5%)*K47</f>
        <v>2.5357384903846159</v>
      </c>
      <c r="L48" s="24">
        <f t="shared" ref="L48" si="117">($C$22-$C$22*5.5%)*L47</f>
        <v>2.8174872115384622</v>
      </c>
      <c r="M48" s="24">
        <f t="shared" ref="M48" si="118">($C$22-$C$22*5.5%)*M47</f>
        <v>3.099235932692308</v>
      </c>
      <c r="N48" s="24">
        <f t="shared" ref="N48" si="119">($C$22-$C$22*5.5%)*N47</f>
        <v>3.3809846538461543</v>
      </c>
      <c r="O48" s="24">
        <f t="shared" ref="O48" si="120">($C$22-$C$22*5.5%)*O47</f>
        <v>3.6627333750000006</v>
      </c>
      <c r="P48" s="24">
        <f t="shared" ref="P48" si="121">($C$22-$C$22*5.5%)*P47</f>
        <v>3.9444820961538465</v>
      </c>
      <c r="Q48" s="24">
        <f t="shared" ref="Q48" si="122">($C$22-$C$22*5.5%)*Q47</f>
        <v>4.2262308173076928</v>
      </c>
      <c r="R48" s="24">
        <f t="shared" ref="R48" si="123">($C$22-$C$22*5.5%)*R47</f>
        <v>4.5079795384615391</v>
      </c>
      <c r="S48" s="24">
        <f t="shared" ref="S48" si="124">($C$22-$C$22*5.5%)*S47</f>
        <v>4.7897282596153854</v>
      </c>
      <c r="T48" s="24">
        <f t="shared" ref="T48" si="125">($C$22-$C$22*5.5%)*T47</f>
        <v>5.0714769807692317</v>
      </c>
      <c r="U48" s="24">
        <f t="shared" ref="U48" si="126">($C$22-$C$22*5.5%)*U47</f>
        <v>5.353225701923078</v>
      </c>
      <c r="V48" s="24">
        <f t="shared" ref="V48" si="127">($C$22-$C$22*5.5%)*V47</f>
        <v>5.6349744230769243</v>
      </c>
      <c r="W48" s="24">
        <f t="shared" ref="W48" si="128">($C$22-$C$22*5.5%)*W47</f>
        <v>5.9167231442307697</v>
      </c>
      <c r="X48" s="24">
        <f t="shared" ref="X48" si="129">($C$22-$C$22*5.5%)*X47</f>
        <v>6.198471865384616</v>
      </c>
      <c r="Y48" s="24">
        <f t="shared" ref="Y48" si="130">($C$22-$C$22*5.5%)*Y47</f>
        <v>6.4802205865384623</v>
      </c>
      <c r="Z48" s="24">
        <f t="shared" ref="Z48" si="131">($C$22-$C$22*5.5%)*Z47</f>
        <v>6.7619693076923086</v>
      </c>
      <c r="AA48" s="24">
        <f t="shared" ref="AA48" si="132">($C$22-$C$22*5.5%)*AA47</f>
        <v>7.0437180288461549</v>
      </c>
      <c r="AB48" s="24">
        <f t="shared" ref="AB48" si="133">($C$22-$C$22*5.5%)*AB47</f>
        <v>7.3254667500000012</v>
      </c>
      <c r="AC48" s="24">
        <f t="shared" ref="AC48" si="134">($C$22-$C$22*5.5%)*AC47</f>
        <v>7.6072154711538476</v>
      </c>
      <c r="AD48" s="24">
        <f t="shared" ref="AD48" si="135">($C$22-$C$22*5.5%)*AD47</f>
        <v>7.888964192307693</v>
      </c>
      <c r="AE48" s="24">
        <f t="shared" ref="AE48" si="136">($C$22-$C$22*5.5%)*AE47</f>
        <v>8.1707129134615393</v>
      </c>
      <c r="AF48" s="24">
        <f t="shared" ref="AF48" si="137">($C$22-$C$22*5.5%)*AF47</f>
        <v>8.4524616346153856</v>
      </c>
      <c r="AG48" s="24">
        <f t="shared" ref="AG48" si="138">($C$22-$C$22*5.5%)*AG47</f>
        <v>8.7342103557692319</v>
      </c>
      <c r="AH48" s="24">
        <f t="shared" ref="AH48" si="139">($C$22-$C$22*5.5%)*AH47</f>
        <v>9.0159590769230782</v>
      </c>
      <c r="AI48" s="24">
        <f t="shared" ref="AI48" si="140">($C$22-$C$22*5.5%)*AI47</f>
        <v>9.2977077980769245</v>
      </c>
      <c r="AJ48" s="24">
        <f t="shared" ref="AJ48" si="141">($C$22-$C$22*5.5%)*AJ47</f>
        <v>9.5794565192307708</v>
      </c>
      <c r="AK48" s="24">
        <f t="shared" ref="AK48" si="142">($C$22-$C$22*5.5%)*AK47</f>
        <v>9.8612052403846171</v>
      </c>
      <c r="AL48" s="24">
        <f t="shared" ref="AL48" si="143">($C$22-$C$22*5.5%)*AL47</f>
        <v>10.142953961538463</v>
      </c>
      <c r="AM48" s="24">
        <f t="shared" ref="AM48" si="144">($C$22-$C$22*5.5%)*AM47</f>
        <v>10.42470268269231</v>
      </c>
      <c r="AN48" s="24">
        <f t="shared" ref="AN48" si="145">($C$22-$C$22*5.5%)*AN47</f>
        <v>10.706451403846156</v>
      </c>
      <c r="AO48" s="24">
        <f t="shared" ref="AO48" si="146">($C$22-$C$22*5.5%)*AO47</f>
        <v>10.988200125000002</v>
      </c>
      <c r="AP48" s="24">
        <f t="shared" ref="AP48" si="147">($C$22-$C$22*5.5%)*AP47</f>
        <v>11.269948846153849</v>
      </c>
    </row>
    <row r="49" spans="1:42" s="60" customFormat="1" x14ac:dyDescent="0.35">
      <c r="A49" s="11" t="s">
        <v>386</v>
      </c>
      <c r="B49" s="16"/>
      <c r="C49" s="113">
        <f>C48*$B$47</f>
        <v>2.8174872115384622E-2</v>
      </c>
      <c r="D49" s="113">
        <f t="shared" ref="D49:J49" si="148">D48*$B$47</f>
        <v>5.6349744230769244E-2</v>
      </c>
      <c r="E49" s="113">
        <f t="shared" si="148"/>
        <v>8.4524616346153866E-2</v>
      </c>
      <c r="F49" s="113">
        <f t="shared" si="148"/>
        <v>0.11269948846153849</v>
      </c>
      <c r="G49" s="113">
        <f t="shared" si="148"/>
        <v>0.14087436057692312</v>
      </c>
      <c r="H49" s="113">
        <f t="shared" si="148"/>
        <v>0.16904923269230773</v>
      </c>
      <c r="I49" s="113">
        <f t="shared" si="148"/>
        <v>0.19722410480769234</v>
      </c>
      <c r="J49" s="113">
        <f t="shared" si="148"/>
        <v>0.22539897692307698</v>
      </c>
      <c r="K49" s="113">
        <f t="shared" ref="K49" si="149">K48*$B$47</f>
        <v>0.25357384903846159</v>
      </c>
      <c r="L49" s="113">
        <f t="shared" ref="L49" si="150">L48*$B$47</f>
        <v>0.28174872115384625</v>
      </c>
      <c r="M49" s="113">
        <f t="shared" ref="M49" si="151">M48*$B$47</f>
        <v>0.3099235932692308</v>
      </c>
      <c r="N49" s="113">
        <f t="shared" ref="N49" si="152">N48*$B$47</f>
        <v>0.33809846538461547</v>
      </c>
      <c r="O49" s="113">
        <f t="shared" ref="O49" si="153">O48*$B$47</f>
        <v>0.36627333750000007</v>
      </c>
      <c r="P49" s="113">
        <f t="shared" ref="P49" si="154">P48*$B$47</f>
        <v>0.39444820961538468</v>
      </c>
      <c r="Q49" s="113">
        <f t="shared" ref="Q49" si="155">Q48*$B$47</f>
        <v>0.42262308173076929</v>
      </c>
      <c r="R49" s="113">
        <f t="shared" ref="R49" si="156">R48*$B$47</f>
        <v>0.45079795384615395</v>
      </c>
      <c r="S49" s="113">
        <f t="shared" ref="S49" si="157">S48*$B$47</f>
        <v>0.47897282596153856</v>
      </c>
      <c r="T49" s="113">
        <f t="shared" ref="T49" si="158">T48*$B$47</f>
        <v>0.50714769807692317</v>
      </c>
      <c r="U49" s="113">
        <f t="shared" ref="U49" si="159">U48*$B$47</f>
        <v>0.53532257019230778</v>
      </c>
      <c r="V49" s="113">
        <f t="shared" ref="V49" si="160">V48*$B$47</f>
        <v>0.5634974423076925</v>
      </c>
      <c r="W49" s="113">
        <f t="shared" ref="W49" si="161">W48*$B$47</f>
        <v>0.59167231442307699</v>
      </c>
      <c r="X49" s="113">
        <f t="shared" ref="X49" si="162">X48*$B$47</f>
        <v>0.6198471865384616</v>
      </c>
      <c r="Y49" s="113">
        <f t="shared" ref="Y49" si="163">Y48*$B$47</f>
        <v>0.64802205865384632</v>
      </c>
      <c r="Z49" s="113">
        <f t="shared" ref="Z49" si="164">Z48*$B$47</f>
        <v>0.67619693076923093</v>
      </c>
      <c r="AA49" s="113">
        <f t="shared" ref="AA49" si="165">AA48*$B$47</f>
        <v>0.70437180288461554</v>
      </c>
      <c r="AB49" s="113">
        <f t="shared" ref="AB49" si="166">AB48*$B$47</f>
        <v>0.73254667500000015</v>
      </c>
      <c r="AC49" s="113">
        <f t="shared" ref="AC49" si="167">AC48*$B$47</f>
        <v>0.76072154711538476</v>
      </c>
      <c r="AD49" s="113">
        <f t="shared" ref="AD49" si="168">AD48*$B$47</f>
        <v>0.78889641923076936</v>
      </c>
      <c r="AE49" s="113">
        <f t="shared" ref="AE49" si="169">AE48*$B$47</f>
        <v>0.81707129134615397</v>
      </c>
      <c r="AF49" s="113">
        <f t="shared" ref="AF49" si="170">AF48*$B$47</f>
        <v>0.84524616346153858</v>
      </c>
      <c r="AG49" s="113">
        <f t="shared" ref="AG49" si="171">AG48*$B$47</f>
        <v>0.87342103557692319</v>
      </c>
      <c r="AH49" s="113">
        <f t="shared" ref="AH49" si="172">AH48*$B$47</f>
        <v>0.90159590769230791</v>
      </c>
      <c r="AI49" s="113">
        <f t="shared" ref="AI49" si="173">AI48*$B$47</f>
        <v>0.92977077980769252</v>
      </c>
      <c r="AJ49" s="113">
        <f t="shared" ref="AJ49" si="174">AJ48*$B$47</f>
        <v>0.95794565192307712</v>
      </c>
      <c r="AK49" s="113">
        <f t="shared" ref="AK49" si="175">AK48*$B$47</f>
        <v>0.98612052403846173</v>
      </c>
      <c r="AL49" s="113">
        <f t="shared" ref="AL49" si="176">AL48*$B$47</f>
        <v>1.0142953961538463</v>
      </c>
      <c r="AM49" s="113">
        <f t="shared" ref="AM49" si="177">AM48*$B$47</f>
        <v>1.0424702682692311</v>
      </c>
      <c r="AN49" s="113">
        <f t="shared" ref="AN49" si="178">AN48*$B$47</f>
        <v>1.0706451403846156</v>
      </c>
      <c r="AO49" s="113">
        <f t="shared" ref="AO49" si="179">AO48*$B$47</f>
        <v>1.0988200125000003</v>
      </c>
      <c r="AP49" s="113">
        <f t="shared" ref="AP49" si="180">AP48*$B$47</f>
        <v>1.126994884615385</v>
      </c>
    </row>
    <row r="50" spans="1:42" s="60" customFormat="1" x14ac:dyDescent="0.35">
      <c r="A50" s="11" t="s">
        <v>387</v>
      </c>
      <c r="B50" s="16"/>
      <c r="C50" s="113">
        <f>C39-C49</f>
        <v>9.9999999999999964E-2</v>
      </c>
      <c r="D50" s="113">
        <f t="shared" ref="D50:J50" si="181">D39-D49</f>
        <v>0.19999999999999993</v>
      </c>
      <c r="E50" s="113">
        <f t="shared" si="181"/>
        <v>0.29999999999999966</v>
      </c>
      <c r="F50" s="113">
        <f t="shared" si="181"/>
        <v>0.39999999999999986</v>
      </c>
      <c r="G50" s="113">
        <f t="shared" si="181"/>
        <v>0.5</v>
      </c>
      <c r="H50" s="113">
        <f t="shared" si="181"/>
        <v>0.59999999999999931</v>
      </c>
      <c r="I50" s="113">
        <f t="shared" si="181"/>
        <v>0.69999999999999951</v>
      </c>
      <c r="J50" s="113">
        <f t="shared" si="181"/>
        <v>0.79999999999999971</v>
      </c>
      <c r="K50" s="113">
        <f t="shared" ref="K50" si="182">K39-K49</f>
        <v>0.89999999999999991</v>
      </c>
      <c r="L50" s="113">
        <f t="shared" ref="L50" si="183">L39-L49</f>
        <v>1</v>
      </c>
      <c r="M50" s="113">
        <f t="shared" ref="M50" si="184">M39-M49</f>
        <v>1.1000000000000003</v>
      </c>
      <c r="N50" s="113">
        <f t="shared" ref="N50" si="185">N39-N49</f>
        <v>1.1999999999999986</v>
      </c>
      <c r="O50" s="113">
        <f t="shared" ref="O50" si="186">O39-O49</f>
        <v>1.2999999999999989</v>
      </c>
      <c r="P50" s="113">
        <f t="shared" ref="P50" si="187">P39-P49</f>
        <v>1.399999999999999</v>
      </c>
      <c r="Q50" s="113">
        <f t="shared" ref="Q50" si="188">Q39-Q49</f>
        <v>1.4999999999999993</v>
      </c>
      <c r="R50" s="113">
        <f t="shared" ref="R50" si="189">R39-R49</f>
        <v>1.5999999999999994</v>
      </c>
      <c r="S50" s="113">
        <f t="shared" ref="S50" si="190">S39-S49</f>
        <v>1.6999999999999997</v>
      </c>
      <c r="T50" s="113">
        <f t="shared" ref="T50" si="191">T39-T49</f>
        <v>1.7999999999999998</v>
      </c>
      <c r="U50" s="113">
        <f t="shared" ref="U50" si="192">U39-U49</f>
        <v>1.9</v>
      </c>
      <c r="V50" s="113">
        <f t="shared" ref="V50" si="193">V39-V49</f>
        <v>2</v>
      </c>
      <c r="W50" s="113">
        <f t="shared" ref="W50" si="194">W39-W49</f>
        <v>2.0999999999999996</v>
      </c>
      <c r="X50" s="113">
        <f t="shared" ref="X50" si="195">X39-X49</f>
        <v>2.2000000000000006</v>
      </c>
      <c r="Y50" s="113">
        <f t="shared" ref="Y50" si="196">Y39-Y49</f>
        <v>2.2999999999999998</v>
      </c>
      <c r="Z50" s="113">
        <f t="shared" ref="Z50" si="197">Z39-Z49</f>
        <v>2.3999999999999972</v>
      </c>
      <c r="AA50" s="113">
        <f t="shared" ref="AA50" si="198">AA39-AA49</f>
        <v>2.4999999999999982</v>
      </c>
      <c r="AB50" s="113">
        <f t="shared" ref="AB50" si="199">AB39-AB49</f>
        <v>2.5999999999999979</v>
      </c>
      <c r="AC50" s="113">
        <f t="shared" ref="AC50" si="200">AC39-AC49</f>
        <v>2.6999999999999988</v>
      </c>
      <c r="AD50" s="113">
        <f t="shared" ref="AD50" si="201">AD39-AD49</f>
        <v>2.799999999999998</v>
      </c>
      <c r="AE50" s="113">
        <f t="shared" ref="AE50" si="202">AE39-AE49</f>
        <v>2.8999999999999995</v>
      </c>
      <c r="AF50" s="113">
        <f t="shared" ref="AF50" si="203">AF39-AF49</f>
        <v>2.9999999999999987</v>
      </c>
      <c r="AG50" s="113">
        <f t="shared" ref="AG50" si="204">AG39-AG49</f>
        <v>3.1000000000000014</v>
      </c>
      <c r="AH50" s="113">
        <f t="shared" ref="AH50" si="205">AH39-AH49</f>
        <v>3.1999999999999988</v>
      </c>
      <c r="AI50" s="113">
        <f t="shared" ref="AI50" si="206">AI39-AI49</f>
        <v>3.2999999999999963</v>
      </c>
      <c r="AJ50" s="113">
        <f t="shared" ref="AJ50" si="207">AJ39-AJ49</f>
        <v>3.3999999999999995</v>
      </c>
      <c r="AK50" s="113">
        <f t="shared" ref="AK50" si="208">AK39-AK49</f>
        <v>3.4999999999999969</v>
      </c>
      <c r="AL50" s="113">
        <f t="shared" ref="AL50" si="209">AL39-AL49</f>
        <v>3.5999999999999996</v>
      </c>
      <c r="AM50" s="113">
        <f t="shared" ref="AM50" si="210">AM39-AM49</f>
        <v>3.6999999999999971</v>
      </c>
      <c r="AN50" s="113">
        <f t="shared" ref="AN50" si="211">AN39-AN49</f>
        <v>3.8</v>
      </c>
      <c r="AO50" s="113">
        <f t="shared" ref="AO50" si="212">AO39-AO49</f>
        <v>3.8999999999999977</v>
      </c>
      <c r="AP50" s="113">
        <f t="shared" ref="AP50" si="213">AP39-AP49</f>
        <v>4</v>
      </c>
    </row>
    <row r="52" spans="1:42" x14ac:dyDescent="0.35">
      <c r="A52" s="68" t="s">
        <v>418</v>
      </c>
      <c r="B52" s="67"/>
      <c r="C52" s="67"/>
      <c r="D52" s="67"/>
      <c r="E52" s="67"/>
      <c r="F52" s="67"/>
      <c r="G52" s="67"/>
      <c r="H52" s="67"/>
      <c r="I52" s="67"/>
      <c r="J52" s="67"/>
    </row>
    <row r="54" spans="1:42" x14ac:dyDescent="0.35">
      <c r="A54" s="117" t="s">
        <v>389</v>
      </c>
      <c r="B54" s="118"/>
    </row>
    <row r="55" spans="1:42" x14ac:dyDescent="0.35">
      <c r="A55" s="116" t="s">
        <v>412</v>
      </c>
      <c r="B55" s="119">
        <f>AP45</f>
        <v>1.6904923269230772</v>
      </c>
    </row>
    <row r="56" spans="1:42" x14ac:dyDescent="0.35">
      <c r="A56" s="42" t="s">
        <v>413</v>
      </c>
      <c r="B56" s="91">
        <f>V39</f>
        <v>2.5634974423076926</v>
      </c>
    </row>
    <row r="57" spans="1:42" x14ac:dyDescent="0.35">
      <c r="A57" s="120" t="s">
        <v>48</v>
      </c>
      <c r="B57" s="13">
        <f>SUM(B55:B56)</f>
        <v>4.2539897692307695</v>
      </c>
    </row>
    <row r="59" spans="1:42" x14ac:dyDescent="0.35">
      <c r="A59" s="117" t="s">
        <v>390</v>
      </c>
      <c r="B59" s="118"/>
    </row>
    <row r="60" spans="1:42" x14ac:dyDescent="0.35">
      <c r="A60" s="116" t="s">
        <v>412</v>
      </c>
      <c r="B60" s="119">
        <f>AP45</f>
        <v>1.6904923269230772</v>
      </c>
    </row>
    <row r="61" spans="1:42" x14ac:dyDescent="0.35">
      <c r="A61" s="42" t="s">
        <v>413</v>
      </c>
      <c r="B61" s="91">
        <f>V50</f>
        <v>2</v>
      </c>
    </row>
    <row r="62" spans="1:42" x14ac:dyDescent="0.35">
      <c r="A62" s="120" t="s">
        <v>48</v>
      </c>
      <c r="B62" s="13">
        <f>SUM(B60:B61)</f>
        <v>3.6904923269230769</v>
      </c>
    </row>
    <row r="64" spans="1:42" x14ac:dyDescent="0.35">
      <c r="A64" s="68" t="s">
        <v>421</v>
      </c>
      <c r="B64" s="67"/>
      <c r="C64" s="67"/>
      <c r="D64" s="67"/>
      <c r="E64" s="67"/>
      <c r="F64" s="67"/>
      <c r="G64" s="67"/>
      <c r="H64" s="67"/>
      <c r="I64" s="67"/>
      <c r="J64" s="67"/>
    </row>
    <row r="66" spans="1:2" x14ac:dyDescent="0.35">
      <c r="A66" s="117" t="s">
        <v>389</v>
      </c>
      <c r="B66" s="118"/>
    </row>
    <row r="67" spans="1:2" x14ac:dyDescent="0.35">
      <c r="A67" s="42" t="s">
        <v>405</v>
      </c>
      <c r="B67" s="91">
        <f>D22</f>
        <v>11.925871794871796</v>
      </c>
    </row>
    <row r="68" spans="1:2" x14ac:dyDescent="0.35">
      <c r="A68" s="116" t="s">
        <v>414</v>
      </c>
      <c r="B68" s="119">
        <f>0-AP45</f>
        <v>-1.6904923269230772</v>
      </c>
    </row>
    <row r="69" spans="1:2" x14ac:dyDescent="0.35">
      <c r="A69" s="120" t="s">
        <v>48</v>
      </c>
      <c r="B69" s="13">
        <f>SUM(B67:B68)</f>
        <v>10.235379467948718</v>
      </c>
    </row>
    <row r="71" spans="1:2" x14ac:dyDescent="0.35">
      <c r="A71" s="133" t="s">
        <v>390</v>
      </c>
      <c r="B71" s="134"/>
    </row>
    <row r="72" spans="1:2" x14ac:dyDescent="0.35">
      <c r="A72" s="42" t="s">
        <v>405</v>
      </c>
      <c r="B72" s="91">
        <f>D22</f>
        <v>11.925871794871796</v>
      </c>
    </row>
    <row r="73" spans="1:2" x14ac:dyDescent="0.35">
      <c r="A73" s="42" t="s">
        <v>393</v>
      </c>
      <c r="B73" s="119">
        <f>0-AP45</f>
        <v>-1.6904923269230772</v>
      </c>
    </row>
    <row r="74" spans="1:2" x14ac:dyDescent="0.35">
      <c r="A74" s="42" t="s">
        <v>406</v>
      </c>
      <c r="B74" s="91">
        <f>V49</f>
        <v>0.5634974423076925</v>
      </c>
    </row>
    <row r="75" spans="1:2" x14ac:dyDescent="0.35">
      <c r="A75" s="120" t="s">
        <v>48</v>
      </c>
      <c r="B75" s="13">
        <f>SUM(B72:B74)</f>
        <v>10.798876910256411</v>
      </c>
    </row>
    <row r="78" spans="1:2" x14ac:dyDescent="0.35">
      <c r="A78" s="37" t="s">
        <v>96</v>
      </c>
      <c r="B78" s="38"/>
    </row>
    <row r="81" spans="1:2" x14ac:dyDescent="0.35">
      <c r="A81" s="2" t="s">
        <v>67</v>
      </c>
      <c r="B81" s="7"/>
    </row>
    <row r="82" spans="1:2" x14ac:dyDescent="0.35">
      <c r="A82" s="7" t="s">
        <v>116</v>
      </c>
      <c r="B82" s="7">
        <v>40</v>
      </c>
    </row>
    <row r="83" spans="1:2" ht="29" x14ac:dyDescent="0.35">
      <c r="A83" s="7" t="s">
        <v>140</v>
      </c>
      <c r="B83" s="42" t="s">
        <v>172</v>
      </c>
    </row>
    <row r="85" spans="1:2" x14ac:dyDescent="0.35">
      <c r="A85" s="39" t="s">
        <v>115</v>
      </c>
      <c r="B85" s="40"/>
    </row>
    <row r="87" spans="1:2" x14ac:dyDescent="0.35">
      <c r="A87" t="s">
        <v>173</v>
      </c>
    </row>
    <row r="88" spans="1:2" x14ac:dyDescent="0.35">
      <c r="A88" t="s">
        <v>174</v>
      </c>
    </row>
    <row r="89" spans="1:2" x14ac:dyDescent="0.35">
      <c r="A89" t="s">
        <v>175</v>
      </c>
    </row>
    <row r="90" spans="1:2" x14ac:dyDescent="0.35">
      <c r="A90" t="s">
        <v>176</v>
      </c>
    </row>
    <row r="92" spans="1:2" x14ac:dyDescent="0.35">
      <c r="A92" t="s">
        <v>180</v>
      </c>
    </row>
    <row r="94" spans="1:2" x14ac:dyDescent="0.35">
      <c r="A94" t="s">
        <v>177</v>
      </c>
    </row>
    <row r="96" spans="1:2" x14ac:dyDescent="0.35">
      <c r="A96" t="s">
        <v>178</v>
      </c>
    </row>
    <row r="97" spans="1:1" x14ac:dyDescent="0.35">
      <c r="A97" t="s">
        <v>179</v>
      </c>
    </row>
    <row r="99" spans="1:1" x14ac:dyDescent="0.35">
      <c r="A99" t="s">
        <v>181</v>
      </c>
    </row>
  </sheetData>
  <phoneticPr fontId="5" type="noConversion"/>
  <conditionalFormatting sqref="C39:AP39">
    <cfRule type="cellIs" dxfId="40" priority="7" operator="greaterThanOrEqual">
      <formula>2</formula>
    </cfRule>
    <cfRule type="cellIs" dxfId="39" priority="8" operator="greaterThanOrEqual">
      <formula>1</formula>
    </cfRule>
  </conditionalFormatting>
  <conditionalFormatting sqref="C38:AP38">
    <cfRule type="cellIs" dxfId="38" priority="5" operator="greaterThanOrEqual">
      <formula>0.5</formula>
    </cfRule>
    <cfRule type="cellIs" dxfId="37" priority="6" operator="between">
      <formula>0.25</formula>
      <formula>0.5</formula>
    </cfRule>
  </conditionalFormatting>
  <conditionalFormatting sqref="C49:AP49">
    <cfRule type="cellIs" dxfId="36" priority="4" operator="greaterThanOrEqual">
      <formula>$AP$45</formula>
    </cfRule>
  </conditionalFormatting>
  <conditionalFormatting sqref="C50:AP50">
    <cfRule type="cellIs" dxfId="35" priority="2" operator="between">
      <formula>2</formula>
      <formula>4</formula>
    </cfRule>
    <cfRule type="cellIs" dxfId="34" priority="3" operator="greaterThanOrEqual">
      <formula>4</formula>
    </cfRule>
  </conditionalFormatting>
  <conditionalFormatting sqref="C45:AP45">
    <cfRule type="cellIs" dxfId="33" priority="1" operator="greaterThanOrEqual">
      <formula>0.5</formula>
    </cfRule>
  </conditionalFormatting>
  <dataValidations count="1">
    <dataValidation type="list" allowBlank="1" showInputMessage="1" showErrorMessage="1" sqref="F6 A6:A12">
      <formula1>Ingrédients_recettes</formula1>
    </dataValidation>
  </dataValidations>
  <pageMargins left="0.70000000000000007" right="0.70000000000000007" top="0.75000000000000011" bottom="0.75000000000000011" header="0.30000000000000004" footer="0.30000000000000004"/>
  <pageSetup paperSize="9" scale="38" orientation="landscape" horizontalDpi="4294967292" verticalDpi="4294967292"/>
  <extLst>
    <ext xmlns:mx="http://schemas.microsoft.com/office/mac/excel/2008/main" uri="{64002731-A6B0-56B0-2670-7721B7C09600}">
      <mx:PLV Mode="0" OnePage="0" WScale="10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81"/>
  <sheetViews>
    <sheetView topLeftCell="A5" workbookViewId="0">
      <selection activeCell="C51" sqref="C51"/>
    </sheetView>
  </sheetViews>
  <sheetFormatPr baseColWidth="10" defaultRowHeight="14.5" x14ac:dyDescent="0.35"/>
  <cols>
    <col min="1" max="1" width="34.1796875" customWidth="1"/>
    <col min="2" max="2" width="14.6328125" bestFit="1" customWidth="1"/>
    <col min="3" max="3" width="13.1796875" bestFit="1" customWidth="1"/>
    <col min="4" max="4" width="14.36328125" bestFit="1" customWidth="1"/>
    <col min="5" max="5" width="10.1796875" bestFit="1" customWidth="1"/>
    <col min="6" max="6" width="12" customWidth="1"/>
    <col min="7" max="7" width="9.81640625" customWidth="1"/>
    <col min="8" max="8" width="10.90625" customWidth="1"/>
  </cols>
  <sheetData>
    <row r="1" spans="1:18" x14ac:dyDescent="0.35">
      <c r="A1" s="103" t="s">
        <v>467</v>
      </c>
      <c r="B1" s="104"/>
      <c r="C1" s="104"/>
      <c r="D1" s="104"/>
      <c r="E1" s="104"/>
      <c r="F1" s="104"/>
      <c r="G1" s="104"/>
      <c r="H1" s="63"/>
      <c r="I1" s="63"/>
      <c r="J1" s="63"/>
      <c r="K1" s="63"/>
      <c r="L1" s="63"/>
      <c r="M1" s="63"/>
      <c r="N1" s="63"/>
      <c r="O1" s="63"/>
      <c r="P1" s="63"/>
      <c r="Q1" s="63"/>
      <c r="R1" s="63"/>
    </row>
    <row r="2" spans="1:18" s="38" customFormat="1" x14ac:dyDescent="0.35">
      <c r="A2" s="73"/>
      <c r="B2" s="74"/>
      <c r="C2" s="74"/>
      <c r="D2" s="74"/>
      <c r="E2" s="74"/>
      <c r="F2" s="74"/>
      <c r="G2" s="74"/>
    </row>
    <row r="3" spans="1:18" s="38" customFormat="1" x14ac:dyDescent="0.35">
      <c r="A3" s="68" t="s">
        <v>276</v>
      </c>
      <c r="B3" s="75"/>
      <c r="C3" s="75"/>
      <c r="D3" s="75"/>
      <c r="E3" s="75"/>
      <c r="F3" s="75"/>
      <c r="G3" s="75"/>
      <c r="H3" s="67"/>
      <c r="I3" s="67"/>
      <c r="J3" s="67"/>
      <c r="K3" s="67"/>
      <c r="L3" s="67"/>
      <c r="M3" s="67"/>
      <c r="N3" s="67"/>
      <c r="O3" s="67"/>
      <c r="P3" s="67"/>
      <c r="Q3" s="67"/>
      <c r="R3" s="67"/>
    </row>
    <row r="5" spans="1:18" x14ac:dyDescent="0.35">
      <c r="A5" s="2" t="s">
        <v>68</v>
      </c>
      <c r="B5" s="2" t="s">
        <v>41</v>
      </c>
      <c r="C5" s="2" t="s">
        <v>42</v>
      </c>
      <c r="D5" s="2" t="s">
        <v>40</v>
      </c>
    </row>
    <row r="6" spans="1:18" x14ac:dyDescent="0.35">
      <c r="A6" s="7" t="s">
        <v>152</v>
      </c>
      <c r="B6" s="4">
        <v>0.2</v>
      </c>
      <c r="C6" s="31">
        <f t="shared" ref="C6:C9" si="0">IF(ISERROR(VLOOKUP(A6,Tableau_produits,6,FALSE)),0,VLOOKUP(A6,Tableau_produits,6,FALSE))</f>
        <v>2.2200000000000002</v>
      </c>
      <c r="D6" s="32">
        <f>C6*B6</f>
        <v>0.44400000000000006</v>
      </c>
      <c r="E6" s="88"/>
      <c r="I6" s="89"/>
    </row>
    <row r="7" spans="1:18" x14ac:dyDescent="0.35">
      <c r="A7" s="7" t="s">
        <v>468</v>
      </c>
      <c r="B7" s="4">
        <v>0.6</v>
      </c>
      <c r="C7" s="31">
        <f t="shared" si="0"/>
        <v>1.02</v>
      </c>
      <c r="D7" s="32">
        <f>C7*B7</f>
        <v>0.61199999999999999</v>
      </c>
      <c r="I7" s="89"/>
    </row>
    <row r="8" spans="1:18" x14ac:dyDescent="0.35">
      <c r="A8" s="7" t="s">
        <v>376</v>
      </c>
      <c r="B8" s="4">
        <v>4</v>
      </c>
      <c r="C8" s="31">
        <f t="shared" si="0"/>
        <v>0</v>
      </c>
      <c r="D8" s="32">
        <f t="shared" ref="D8:D9" si="1">C8*B8</f>
        <v>0</v>
      </c>
      <c r="I8" s="89"/>
    </row>
    <row r="9" spans="1:18" x14ac:dyDescent="0.35">
      <c r="A9" s="7" t="s">
        <v>470</v>
      </c>
      <c r="B9" s="4">
        <v>7.4999999999999997E-3</v>
      </c>
      <c r="C9" s="31">
        <f t="shared" si="0"/>
        <v>100.22222222222221</v>
      </c>
      <c r="D9" s="32">
        <f t="shared" si="1"/>
        <v>0.75166666666666659</v>
      </c>
      <c r="I9" s="89"/>
    </row>
    <row r="10" spans="1:18" x14ac:dyDescent="0.35">
      <c r="A10" s="13" t="s">
        <v>48</v>
      </c>
      <c r="B10" s="13"/>
      <c r="C10" s="13"/>
      <c r="D10" s="34">
        <f>SUM(D6:D9)</f>
        <v>1.8076666666666665</v>
      </c>
    </row>
    <row r="11" spans="1:18" x14ac:dyDescent="0.35">
      <c r="A11" s="34" t="str">
        <f>"Coût par portion ("&amp;ROUND(C14*1000,0)&amp;"g)"</f>
        <v>Coût par portion (0g)</v>
      </c>
      <c r="B11" s="13"/>
      <c r="C11" s="13"/>
      <c r="D11" s="34">
        <f>IF(E14=0,0,D10/E14)</f>
        <v>0.18076666666666666</v>
      </c>
    </row>
    <row r="13" spans="1:18" ht="43.5" x14ac:dyDescent="0.35">
      <c r="A13" s="2" t="s">
        <v>90</v>
      </c>
      <c r="B13" s="28" t="s">
        <v>91</v>
      </c>
      <c r="C13" s="28" t="s">
        <v>94</v>
      </c>
      <c r="D13" s="28" t="s">
        <v>92</v>
      </c>
      <c r="E13" s="28" t="s">
        <v>95</v>
      </c>
    </row>
    <row r="14" spans="1:18" x14ac:dyDescent="0.35">
      <c r="A14" s="7" t="s">
        <v>93</v>
      </c>
      <c r="B14" s="7"/>
      <c r="C14" s="7">
        <v>0</v>
      </c>
      <c r="D14" s="30">
        <v>10</v>
      </c>
      <c r="E14" s="35">
        <f>TRUNC(D14)</f>
        <v>10</v>
      </c>
    </row>
    <row r="15" spans="1:18" s="38" customFormat="1" x14ac:dyDescent="0.35">
      <c r="A15" s="60"/>
      <c r="B15" s="60"/>
      <c r="C15" s="60"/>
      <c r="D15" s="64"/>
      <c r="E15" s="60"/>
    </row>
    <row r="16" spans="1:18" s="38" customFormat="1" x14ac:dyDescent="0.35">
      <c r="A16" s="71" t="s">
        <v>277</v>
      </c>
      <c r="B16" s="69"/>
      <c r="C16" s="69"/>
      <c r="D16" s="70"/>
      <c r="E16" s="69"/>
      <c r="F16" s="67"/>
      <c r="G16" s="67"/>
      <c r="H16" s="67"/>
      <c r="I16" s="67"/>
      <c r="J16" s="67"/>
      <c r="K16" s="67"/>
      <c r="L16" s="67"/>
      <c r="M16" s="67"/>
      <c r="N16" s="67"/>
      <c r="O16" s="67"/>
      <c r="P16" s="67"/>
      <c r="Q16" s="67"/>
      <c r="R16" s="67"/>
    </row>
    <row r="17" spans="1:18" s="38" customFormat="1" x14ac:dyDescent="0.35">
      <c r="A17" s="60"/>
      <c r="B17" s="60"/>
      <c r="C17" s="60"/>
      <c r="D17" s="64"/>
      <c r="E17" s="60"/>
    </row>
    <row r="18" spans="1:18" s="38" customFormat="1" x14ac:dyDescent="0.35">
      <c r="A18" s="16" t="s">
        <v>274</v>
      </c>
      <c r="B18" s="2" t="s">
        <v>267</v>
      </c>
      <c r="C18" s="2" t="s">
        <v>268</v>
      </c>
      <c r="D18" s="2" t="s">
        <v>269</v>
      </c>
      <c r="E18"/>
    </row>
    <row r="19" spans="1:18" s="38" customFormat="1" x14ac:dyDescent="0.35">
      <c r="A19" s="7" t="s">
        <v>270</v>
      </c>
      <c r="B19" s="78">
        <v>16</v>
      </c>
      <c r="C19" s="24">
        <f>D11</f>
        <v>0.18076666666666666</v>
      </c>
      <c r="D19" s="35">
        <f>C19*B19</f>
        <v>2.8922666666666665</v>
      </c>
      <c r="E19"/>
      <c r="G19" s="144"/>
    </row>
    <row r="20" spans="1:18" s="38" customFormat="1" x14ac:dyDescent="0.35">
      <c r="A20" s="7" t="s">
        <v>271</v>
      </c>
      <c r="B20" s="78">
        <v>8</v>
      </c>
      <c r="C20" s="24">
        <f>C19</f>
        <v>0.18076666666666666</v>
      </c>
      <c r="D20" s="35">
        <f>C20*B20</f>
        <v>1.4461333333333333</v>
      </c>
      <c r="E20"/>
      <c r="F20"/>
    </row>
    <row r="21" spans="1:18" s="38" customFormat="1" x14ac:dyDescent="0.35">
      <c r="A21" s="7" t="s">
        <v>272</v>
      </c>
      <c r="B21" s="35">
        <f>B19-B20</f>
        <v>8</v>
      </c>
      <c r="C21" s="66">
        <f>(D21/B21)*70%</f>
        <v>0.25307333333333332</v>
      </c>
      <c r="D21" s="35">
        <f>D19</f>
        <v>2.8922666666666665</v>
      </c>
      <c r="E21"/>
      <c r="F21" s="83"/>
      <c r="G21"/>
      <c r="H21"/>
    </row>
    <row r="22" spans="1:18" s="38" customFormat="1" x14ac:dyDescent="0.35">
      <c r="A22" s="60"/>
      <c r="B22" s="60"/>
      <c r="C22" s="60"/>
      <c r="D22" s="64"/>
      <c r="E22" s="60"/>
    </row>
    <row r="23" spans="1:18" x14ac:dyDescent="0.35">
      <c r="A23" s="16" t="s">
        <v>275</v>
      </c>
      <c r="B23" s="50" t="s">
        <v>235</v>
      </c>
      <c r="C23" s="45">
        <v>1</v>
      </c>
      <c r="D23" s="45">
        <v>2</v>
      </c>
      <c r="E23" s="45">
        <v>3</v>
      </c>
      <c r="F23" s="45">
        <v>4</v>
      </c>
      <c r="G23" s="46">
        <v>5</v>
      </c>
      <c r="H23" s="46">
        <v>6</v>
      </c>
      <c r="I23" s="46">
        <v>7</v>
      </c>
      <c r="J23" s="46">
        <v>8</v>
      </c>
      <c r="K23" s="46">
        <v>9</v>
      </c>
      <c r="L23" s="46">
        <v>10</v>
      </c>
      <c r="M23" s="46">
        <v>11</v>
      </c>
      <c r="N23" s="46">
        <v>12</v>
      </c>
      <c r="O23" s="46">
        <v>13</v>
      </c>
      <c r="P23" s="46">
        <v>14</v>
      </c>
      <c r="Q23" s="46">
        <v>15</v>
      </c>
      <c r="R23" s="46">
        <v>16</v>
      </c>
    </row>
    <row r="24" spans="1:18" x14ac:dyDescent="0.35">
      <c r="A24" s="17" t="s">
        <v>51</v>
      </c>
      <c r="B24" s="53"/>
      <c r="C24" s="24">
        <f>$C$21*C23</f>
        <v>0.25307333333333332</v>
      </c>
      <c r="D24" s="24">
        <f t="shared" ref="D24:J24" si="2">$C$21*D23</f>
        <v>0.50614666666666663</v>
      </c>
      <c r="E24" s="24">
        <f t="shared" si="2"/>
        <v>0.75922000000000001</v>
      </c>
      <c r="F24" s="24">
        <f t="shared" si="2"/>
        <v>1.0122933333333333</v>
      </c>
      <c r="G24" s="24">
        <f t="shared" si="2"/>
        <v>1.2653666666666665</v>
      </c>
      <c r="H24" s="24">
        <f t="shared" si="2"/>
        <v>1.51844</v>
      </c>
      <c r="I24" s="24">
        <f t="shared" si="2"/>
        <v>1.7715133333333333</v>
      </c>
      <c r="J24" s="24">
        <f t="shared" si="2"/>
        <v>2.0245866666666665</v>
      </c>
      <c r="K24" s="24">
        <f t="shared" ref="K24:R24" si="3">$C$21*K23</f>
        <v>2.27766</v>
      </c>
      <c r="L24" s="24">
        <f t="shared" si="3"/>
        <v>2.5307333333333331</v>
      </c>
      <c r="M24" s="24">
        <f t="shared" si="3"/>
        <v>2.7838066666666665</v>
      </c>
      <c r="N24" s="24">
        <f t="shared" si="3"/>
        <v>3.03688</v>
      </c>
      <c r="O24" s="24">
        <f t="shared" si="3"/>
        <v>3.2899533333333331</v>
      </c>
      <c r="P24" s="24">
        <f t="shared" si="3"/>
        <v>3.5430266666666665</v>
      </c>
      <c r="Q24" s="24">
        <f t="shared" si="3"/>
        <v>3.7960999999999996</v>
      </c>
      <c r="R24" s="24">
        <f t="shared" si="3"/>
        <v>4.0491733333333331</v>
      </c>
    </row>
    <row r="25" spans="1:18" x14ac:dyDescent="0.35">
      <c r="A25" s="16" t="s">
        <v>471</v>
      </c>
      <c r="B25" s="54">
        <f>2/8</f>
        <v>0.25</v>
      </c>
      <c r="C25" s="24">
        <f>(($C$24+$B$25)+$C$46)*C23</f>
        <v>0.52015578333333323</v>
      </c>
      <c r="D25" s="24">
        <f t="shared" ref="D25:J25" si="4">(($C$24+$B$25)+$C$46)*D23</f>
        <v>1.0403115666666665</v>
      </c>
      <c r="E25" s="24">
        <f t="shared" si="4"/>
        <v>1.5604673499999997</v>
      </c>
      <c r="F25" s="24">
        <f t="shared" si="4"/>
        <v>2.0806231333333329</v>
      </c>
      <c r="G25" s="24">
        <f t="shared" si="4"/>
        <v>2.6007789166666662</v>
      </c>
      <c r="H25" s="24">
        <f t="shared" si="4"/>
        <v>3.1209346999999994</v>
      </c>
      <c r="I25" s="24">
        <f t="shared" si="4"/>
        <v>3.6410904833333326</v>
      </c>
      <c r="J25" s="24">
        <f t="shared" si="4"/>
        <v>4.1612462666666659</v>
      </c>
      <c r="K25" s="24">
        <f t="shared" ref="K25:R25" si="5">(($C$24+$B$25)+$C$46)*K23</f>
        <v>4.6814020499999991</v>
      </c>
      <c r="L25" s="24">
        <f t="shared" si="5"/>
        <v>5.2015578333333323</v>
      </c>
      <c r="M25" s="24">
        <f t="shared" si="5"/>
        <v>5.7217136166666656</v>
      </c>
      <c r="N25" s="24">
        <f t="shared" si="5"/>
        <v>6.2418693999999988</v>
      </c>
      <c r="O25" s="24">
        <f t="shared" si="5"/>
        <v>6.762025183333332</v>
      </c>
      <c r="P25" s="24">
        <f t="shared" si="5"/>
        <v>7.2821809666666653</v>
      </c>
      <c r="Q25" s="24">
        <f t="shared" si="5"/>
        <v>7.8023367499999985</v>
      </c>
      <c r="R25" s="24">
        <f t="shared" si="5"/>
        <v>8.3224925333333317</v>
      </c>
    </row>
    <row r="26" spans="1:18" x14ac:dyDescent="0.35">
      <c r="A26" s="55" t="s">
        <v>380</v>
      </c>
      <c r="B26" s="56"/>
      <c r="C26" s="34">
        <f>C25+(C25*5.5%)</f>
        <v>0.54876435141666657</v>
      </c>
      <c r="D26" s="34">
        <f t="shared" ref="D26:J26" si="6">D25+(D25*5.5%)</f>
        <v>1.0975287028333331</v>
      </c>
      <c r="E26" s="34">
        <f t="shared" si="6"/>
        <v>1.6462930542499996</v>
      </c>
      <c r="F26" s="34">
        <f t="shared" si="6"/>
        <v>2.1950574056666663</v>
      </c>
      <c r="G26" s="34">
        <f t="shared" si="6"/>
        <v>2.743821757083333</v>
      </c>
      <c r="H26" s="34">
        <f t="shared" si="6"/>
        <v>3.2925861084999992</v>
      </c>
      <c r="I26" s="34">
        <f t="shared" si="6"/>
        <v>3.8413504599166659</v>
      </c>
      <c r="J26" s="34">
        <f t="shared" si="6"/>
        <v>4.3901148113333326</v>
      </c>
      <c r="K26" s="34">
        <f t="shared" ref="K26:R26" si="7">K25+(K25*5.5%)</f>
        <v>4.9388791627499993</v>
      </c>
      <c r="L26" s="34">
        <f t="shared" si="7"/>
        <v>5.487643514166666</v>
      </c>
      <c r="M26" s="34">
        <f t="shared" si="7"/>
        <v>6.0364078655833318</v>
      </c>
      <c r="N26" s="34">
        <f t="shared" si="7"/>
        <v>6.5851722169999984</v>
      </c>
      <c r="O26" s="34">
        <f t="shared" si="7"/>
        <v>7.1339365684166651</v>
      </c>
      <c r="P26" s="34">
        <f t="shared" si="7"/>
        <v>7.6827009198333318</v>
      </c>
      <c r="Q26" s="34">
        <f t="shared" si="7"/>
        <v>8.2314652712499985</v>
      </c>
      <c r="R26" s="34">
        <f t="shared" si="7"/>
        <v>8.7802296226666652</v>
      </c>
    </row>
    <row r="27" spans="1:18" s="38" customFormat="1" x14ac:dyDescent="0.35">
      <c r="A27" s="49" t="s">
        <v>233</v>
      </c>
      <c r="B27" s="15"/>
      <c r="C27" s="15"/>
      <c r="D27" s="15"/>
      <c r="E27" s="15"/>
      <c r="F27" s="15"/>
      <c r="G27" s="15"/>
    </row>
    <row r="28" spans="1:18" x14ac:dyDescent="0.35">
      <c r="A28" s="15"/>
      <c r="B28" s="14"/>
      <c r="C28" s="14"/>
      <c r="D28" s="14"/>
      <c r="E28" s="14"/>
    </row>
    <row r="29" spans="1:18" x14ac:dyDescent="0.35">
      <c r="A29" s="16" t="s">
        <v>388</v>
      </c>
      <c r="B29" s="56"/>
      <c r="C29" s="47">
        <v>1</v>
      </c>
      <c r="D29" s="47">
        <v>2</v>
      </c>
      <c r="E29" s="47">
        <v>3</v>
      </c>
      <c r="F29" s="47">
        <v>4</v>
      </c>
      <c r="G29" s="48">
        <v>5</v>
      </c>
      <c r="H29" s="48">
        <v>6</v>
      </c>
      <c r="I29" s="48">
        <v>7</v>
      </c>
      <c r="J29" s="48">
        <v>8</v>
      </c>
      <c r="K29" s="48">
        <v>9</v>
      </c>
      <c r="L29" s="48">
        <v>10</v>
      </c>
      <c r="M29" s="48">
        <v>11</v>
      </c>
      <c r="N29" s="48">
        <v>12</v>
      </c>
      <c r="O29" s="48">
        <v>13</v>
      </c>
      <c r="P29" s="48">
        <v>14</v>
      </c>
      <c r="Q29" s="48">
        <v>15</v>
      </c>
      <c r="R29" s="48">
        <v>16</v>
      </c>
    </row>
    <row r="30" spans="1:18" x14ac:dyDescent="0.35">
      <c r="A30" s="17" t="s">
        <v>52</v>
      </c>
      <c r="B30" s="56"/>
      <c r="C30" s="24">
        <f>C24-($C$19*C29)</f>
        <v>7.2306666666666658E-2</v>
      </c>
      <c r="D30" s="24">
        <f t="shared" ref="D30:J30" si="8">D24-($C$19*D29)</f>
        <v>0.14461333333333332</v>
      </c>
      <c r="E30" s="24">
        <f t="shared" si="8"/>
        <v>0.21692</v>
      </c>
      <c r="F30" s="24">
        <f t="shared" si="8"/>
        <v>0.28922666666666663</v>
      </c>
      <c r="G30" s="24">
        <f t="shared" si="8"/>
        <v>0.36153333333333326</v>
      </c>
      <c r="H30" s="24">
        <f t="shared" si="8"/>
        <v>0.43384</v>
      </c>
      <c r="I30" s="24">
        <f t="shared" si="8"/>
        <v>0.50614666666666674</v>
      </c>
      <c r="J30" s="24">
        <f t="shared" si="8"/>
        <v>0.57845333333333326</v>
      </c>
      <c r="K30" s="24">
        <f t="shared" ref="K30:R30" si="9">K24-($C$19*K29)</f>
        <v>0.65076000000000001</v>
      </c>
      <c r="L30" s="24">
        <f t="shared" si="9"/>
        <v>0.72306666666666652</v>
      </c>
      <c r="M30" s="24">
        <f t="shared" si="9"/>
        <v>0.79537333333333327</v>
      </c>
      <c r="N30" s="24">
        <f t="shared" si="9"/>
        <v>0.86768000000000001</v>
      </c>
      <c r="O30" s="24">
        <f t="shared" si="9"/>
        <v>0.93998666666666653</v>
      </c>
      <c r="P30" s="24">
        <f t="shared" si="9"/>
        <v>1.0122933333333335</v>
      </c>
      <c r="Q30" s="24">
        <f t="shared" si="9"/>
        <v>1.0845999999999996</v>
      </c>
      <c r="R30" s="24">
        <f t="shared" si="9"/>
        <v>1.1569066666666665</v>
      </c>
    </row>
    <row r="31" spans="1:18" x14ac:dyDescent="0.35">
      <c r="A31" s="17" t="s">
        <v>53</v>
      </c>
      <c r="B31" s="56"/>
      <c r="C31" s="24">
        <f>C25-C24</f>
        <v>0.26708244999999992</v>
      </c>
      <c r="D31" s="24">
        <f t="shared" ref="D31:J31" si="10">D25-D24</f>
        <v>0.53416489999999983</v>
      </c>
      <c r="E31" s="24">
        <f t="shared" si="10"/>
        <v>0.80124734999999969</v>
      </c>
      <c r="F31" s="24">
        <f t="shared" si="10"/>
        <v>1.0683297999999997</v>
      </c>
      <c r="G31" s="24">
        <f t="shared" si="10"/>
        <v>1.3354122499999996</v>
      </c>
      <c r="H31" s="24">
        <f t="shared" si="10"/>
        <v>1.6024946999999994</v>
      </c>
      <c r="I31" s="24">
        <f t="shared" si="10"/>
        <v>1.8695771499999994</v>
      </c>
      <c r="J31" s="24">
        <f t="shared" si="10"/>
        <v>2.1366595999999993</v>
      </c>
      <c r="K31" s="24">
        <f t="shared" ref="K31:R31" si="11">K25-K24</f>
        <v>2.4037420499999991</v>
      </c>
      <c r="L31" s="24">
        <f t="shared" si="11"/>
        <v>2.6708244999999993</v>
      </c>
      <c r="M31" s="24">
        <f t="shared" si="11"/>
        <v>2.937906949999999</v>
      </c>
      <c r="N31" s="24">
        <f t="shared" si="11"/>
        <v>3.2049893999999988</v>
      </c>
      <c r="O31" s="24">
        <f t="shared" si="11"/>
        <v>3.472071849999999</v>
      </c>
      <c r="P31" s="24">
        <f t="shared" si="11"/>
        <v>3.7391542999999987</v>
      </c>
      <c r="Q31" s="24">
        <f t="shared" si="11"/>
        <v>4.0062367499999993</v>
      </c>
      <c r="R31" s="24">
        <f t="shared" si="11"/>
        <v>4.2733191999999987</v>
      </c>
    </row>
    <row r="32" spans="1:18" s="38" customFormat="1" x14ac:dyDescent="0.35">
      <c r="A32" s="49" t="s">
        <v>234</v>
      </c>
      <c r="B32" s="15"/>
      <c r="C32" s="15"/>
      <c r="D32" s="15"/>
      <c r="E32" s="15"/>
      <c r="F32" s="15"/>
    </row>
    <row r="34" spans="1:18" x14ac:dyDescent="0.35">
      <c r="A34" s="2" t="s">
        <v>236</v>
      </c>
      <c r="B34" s="56"/>
      <c r="C34" s="47">
        <v>1</v>
      </c>
      <c r="D34" s="47">
        <v>2</v>
      </c>
      <c r="E34" s="47">
        <v>3</v>
      </c>
      <c r="F34" s="47">
        <v>4</v>
      </c>
      <c r="G34" s="48">
        <v>5</v>
      </c>
      <c r="H34" s="48">
        <v>6</v>
      </c>
      <c r="I34" s="48">
        <v>7</v>
      </c>
      <c r="J34" s="48">
        <v>8</v>
      </c>
      <c r="K34" s="48">
        <v>9</v>
      </c>
      <c r="L34" s="48">
        <v>10</v>
      </c>
      <c r="M34" s="48">
        <v>11</v>
      </c>
      <c r="N34" s="48">
        <v>12</v>
      </c>
      <c r="O34" s="48">
        <v>13</v>
      </c>
      <c r="P34" s="48">
        <v>14</v>
      </c>
      <c r="Q34" s="48">
        <v>15</v>
      </c>
      <c r="R34" s="48">
        <v>16</v>
      </c>
    </row>
    <row r="35" spans="1:18" x14ac:dyDescent="0.35">
      <c r="A35" s="7" t="s">
        <v>238</v>
      </c>
      <c r="B35" s="56"/>
      <c r="C35" s="59">
        <f>IF($D$19=0,0,(C24)/$D$19)</f>
        <v>8.7499999999999994E-2</v>
      </c>
      <c r="D35" s="59">
        <f t="shared" ref="D35:J35" si="12">IF($D$19=0,0,(D24)/$D$19)</f>
        <v>0.17499999999999999</v>
      </c>
      <c r="E35" s="59">
        <f t="shared" si="12"/>
        <v>0.26250000000000001</v>
      </c>
      <c r="F35" s="59">
        <f>IF($D$19=0,0,(F24)/$D$19)</f>
        <v>0.35</v>
      </c>
      <c r="G35" s="59">
        <f t="shared" si="12"/>
        <v>0.43749999999999994</v>
      </c>
      <c r="H35" s="59">
        <f t="shared" si="12"/>
        <v>0.52500000000000002</v>
      </c>
      <c r="I35" s="59">
        <f t="shared" si="12"/>
        <v>0.61250000000000004</v>
      </c>
      <c r="J35" s="59">
        <f t="shared" si="12"/>
        <v>0.7</v>
      </c>
      <c r="K35" s="59">
        <f t="shared" ref="K35:R35" si="13">IF($D$19=0,0,(K24)/$D$19)</f>
        <v>0.78750000000000009</v>
      </c>
      <c r="L35" s="59">
        <f t="shared" si="13"/>
        <v>0.87499999999999989</v>
      </c>
      <c r="M35" s="59">
        <f t="shared" si="13"/>
        <v>0.96250000000000002</v>
      </c>
      <c r="N35" s="59">
        <f t="shared" si="13"/>
        <v>1.05</v>
      </c>
      <c r="O35" s="59">
        <f t="shared" si="13"/>
        <v>1.1375</v>
      </c>
      <c r="P35" s="59">
        <f t="shared" si="13"/>
        <v>1.2250000000000001</v>
      </c>
      <c r="Q35" s="59">
        <f t="shared" si="13"/>
        <v>1.3125</v>
      </c>
      <c r="R35" s="59">
        <f t="shared" si="13"/>
        <v>1.4</v>
      </c>
    </row>
    <row r="36" spans="1:18" x14ac:dyDescent="0.35">
      <c r="A36" s="7" t="s">
        <v>383</v>
      </c>
      <c r="B36" s="56"/>
      <c r="C36" s="24">
        <f>C31</f>
        <v>0.26708244999999992</v>
      </c>
      <c r="D36" s="24">
        <f t="shared" ref="D36:J36" si="14">D31</f>
        <v>0.53416489999999983</v>
      </c>
      <c r="E36" s="24">
        <f t="shared" si="14"/>
        <v>0.80124734999999969</v>
      </c>
      <c r="F36" s="24">
        <f t="shared" si="14"/>
        <v>1.0683297999999997</v>
      </c>
      <c r="G36" s="24">
        <f t="shared" si="14"/>
        <v>1.3354122499999996</v>
      </c>
      <c r="H36" s="24">
        <f t="shared" si="14"/>
        <v>1.6024946999999994</v>
      </c>
      <c r="I36" s="24">
        <f t="shared" si="14"/>
        <v>1.8695771499999994</v>
      </c>
      <c r="J36" s="24">
        <f t="shared" si="14"/>
        <v>2.1366595999999993</v>
      </c>
      <c r="K36" s="24">
        <f t="shared" ref="K36:R36" si="15">K31</f>
        <v>2.4037420499999991</v>
      </c>
      <c r="L36" s="24">
        <f t="shared" si="15"/>
        <v>2.6708244999999993</v>
      </c>
      <c r="M36" s="24">
        <f t="shared" si="15"/>
        <v>2.937906949999999</v>
      </c>
      <c r="N36" s="24">
        <f t="shared" si="15"/>
        <v>3.2049893999999988</v>
      </c>
      <c r="O36" s="24">
        <f t="shared" si="15"/>
        <v>3.472071849999999</v>
      </c>
      <c r="P36" s="24">
        <f t="shared" si="15"/>
        <v>3.7391542999999987</v>
      </c>
      <c r="Q36" s="24">
        <f t="shared" si="15"/>
        <v>4.0062367499999993</v>
      </c>
      <c r="R36" s="24">
        <f t="shared" si="15"/>
        <v>4.2733191999999987</v>
      </c>
    </row>
    <row r="37" spans="1:18" s="60" customFormat="1" x14ac:dyDescent="0.35">
      <c r="B37" s="57"/>
      <c r="C37" s="15"/>
      <c r="D37" s="15"/>
      <c r="E37" s="15"/>
      <c r="F37" s="15"/>
      <c r="G37" s="15"/>
      <c r="H37" s="15"/>
      <c r="I37" s="15"/>
      <c r="J37" s="15"/>
      <c r="K37" s="15"/>
      <c r="L37" s="15"/>
      <c r="M37" s="15"/>
      <c r="N37" s="15"/>
      <c r="O37" s="15"/>
      <c r="P37" s="15"/>
      <c r="Q37" s="15"/>
      <c r="R37" s="15"/>
    </row>
    <row r="38" spans="1:18" s="60" customFormat="1" x14ac:dyDescent="0.35">
      <c r="A38" s="71" t="s">
        <v>384</v>
      </c>
      <c r="B38" s="76"/>
      <c r="C38" s="111"/>
      <c r="D38" s="111"/>
      <c r="E38" s="111"/>
      <c r="F38" s="111"/>
      <c r="G38" s="111"/>
      <c r="H38" s="111"/>
      <c r="I38" s="111"/>
      <c r="J38" s="111"/>
      <c r="K38" s="111"/>
      <c r="L38" s="111"/>
      <c r="M38" s="111"/>
      <c r="N38" s="111"/>
      <c r="O38" s="111"/>
      <c r="P38" s="111"/>
      <c r="Q38" s="111"/>
      <c r="R38" s="111"/>
    </row>
    <row r="39" spans="1:18" s="60" customFormat="1" x14ac:dyDescent="0.35">
      <c r="B39" s="57"/>
      <c r="C39" s="15"/>
      <c r="D39" s="15"/>
      <c r="E39" s="15"/>
      <c r="F39" s="15"/>
      <c r="G39" s="15"/>
      <c r="H39" s="15"/>
      <c r="I39" s="15"/>
      <c r="J39" s="15"/>
      <c r="K39" s="15"/>
      <c r="L39" s="15"/>
      <c r="M39" s="15"/>
      <c r="N39" s="15"/>
      <c r="O39" s="15"/>
      <c r="P39" s="15"/>
      <c r="Q39" s="15"/>
      <c r="R39" s="15"/>
    </row>
    <row r="40" spans="1:18" s="60" customFormat="1" ht="43.5" x14ac:dyDescent="0.35">
      <c r="A40" s="109" t="s">
        <v>385</v>
      </c>
      <c r="B40" s="112">
        <v>0.15</v>
      </c>
      <c r="C40" s="48">
        <v>1</v>
      </c>
      <c r="D40" s="48">
        <v>2</v>
      </c>
      <c r="E40" s="48">
        <v>3</v>
      </c>
      <c r="F40" s="48">
        <v>4</v>
      </c>
      <c r="G40" s="48">
        <v>5</v>
      </c>
      <c r="H40" s="48">
        <v>6</v>
      </c>
      <c r="I40" s="48">
        <v>7</v>
      </c>
      <c r="J40" s="48">
        <v>8</v>
      </c>
      <c r="K40" s="48">
        <v>9</v>
      </c>
      <c r="L40" s="48">
        <v>10</v>
      </c>
      <c r="M40" s="48">
        <v>11</v>
      </c>
      <c r="N40" s="48">
        <v>12</v>
      </c>
      <c r="O40" s="48">
        <v>13</v>
      </c>
      <c r="P40" s="48">
        <v>14</v>
      </c>
      <c r="Q40" s="48">
        <v>15</v>
      </c>
      <c r="R40" s="48">
        <v>16</v>
      </c>
    </row>
    <row r="41" spans="1:18" s="60" customFormat="1" x14ac:dyDescent="0.35">
      <c r="A41" s="11" t="s">
        <v>382</v>
      </c>
      <c r="B41" s="110"/>
      <c r="C41" s="24">
        <f>($C$19-$C$19*5.5%)*C40</f>
        <v>0.17082449999999999</v>
      </c>
      <c r="D41" s="24">
        <f>($C$19-$C$19*5.5%)*D40</f>
        <v>0.34164899999999998</v>
      </c>
      <c r="E41" s="24">
        <f t="shared" ref="E41:J41" si="16">($C$19-$C$19*5.5%)*E40</f>
        <v>0.51247350000000003</v>
      </c>
      <c r="F41" s="24">
        <f t="shared" si="16"/>
        <v>0.68329799999999996</v>
      </c>
      <c r="G41" s="24">
        <f t="shared" si="16"/>
        <v>0.8541224999999999</v>
      </c>
      <c r="H41" s="24">
        <f t="shared" si="16"/>
        <v>1.0249470000000001</v>
      </c>
      <c r="I41" s="24">
        <f t="shared" si="16"/>
        <v>1.1957715</v>
      </c>
      <c r="J41" s="24">
        <f t="shared" si="16"/>
        <v>1.3665959999999999</v>
      </c>
      <c r="K41" s="24">
        <f t="shared" ref="K41:R41" si="17">($C$19-$C$19*5.5%)*K40</f>
        <v>1.5374204999999999</v>
      </c>
      <c r="L41" s="24">
        <f t="shared" si="17"/>
        <v>1.7082449999999998</v>
      </c>
      <c r="M41" s="24">
        <f t="shared" si="17"/>
        <v>1.8790694999999999</v>
      </c>
      <c r="N41" s="24">
        <f t="shared" si="17"/>
        <v>2.0498940000000001</v>
      </c>
      <c r="O41" s="24">
        <f t="shared" si="17"/>
        <v>2.2207184999999998</v>
      </c>
      <c r="P41" s="24">
        <f t="shared" si="17"/>
        <v>2.391543</v>
      </c>
      <c r="Q41" s="24">
        <f t="shared" si="17"/>
        <v>2.5623674999999997</v>
      </c>
      <c r="R41" s="24">
        <f t="shared" si="17"/>
        <v>2.7331919999999998</v>
      </c>
    </row>
    <row r="42" spans="1:18" s="60" customFormat="1" x14ac:dyDescent="0.35">
      <c r="A42" s="11" t="s">
        <v>281</v>
      </c>
      <c r="B42" s="16"/>
      <c r="C42" s="115">
        <f>C41*$B$40</f>
        <v>2.5623674999999999E-2</v>
      </c>
      <c r="D42" s="115">
        <f t="shared" ref="D42:J42" si="18">D41*$B$40</f>
        <v>5.1247349999999997E-2</v>
      </c>
      <c r="E42" s="115">
        <f t="shared" si="18"/>
        <v>7.6871024999999996E-2</v>
      </c>
      <c r="F42" s="115">
        <f t="shared" si="18"/>
        <v>0.10249469999999999</v>
      </c>
      <c r="G42" s="115">
        <f t="shared" si="18"/>
        <v>0.12811837499999998</v>
      </c>
      <c r="H42" s="115">
        <f t="shared" si="18"/>
        <v>0.15374204999999999</v>
      </c>
      <c r="I42" s="115">
        <f t="shared" si="18"/>
        <v>0.179365725</v>
      </c>
      <c r="J42" s="115">
        <f t="shared" si="18"/>
        <v>0.20498939999999999</v>
      </c>
      <c r="K42" s="115">
        <f t="shared" ref="K42:R42" si="19">K41*$B$40</f>
        <v>0.23061307499999997</v>
      </c>
      <c r="L42" s="115">
        <f t="shared" si="19"/>
        <v>0.25623674999999996</v>
      </c>
      <c r="M42" s="115">
        <f t="shared" si="19"/>
        <v>0.28186042499999997</v>
      </c>
      <c r="N42" s="115">
        <f t="shared" si="19"/>
        <v>0.30748409999999998</v>
      </c>
      <c r="O42" s="115">
        <f t="shared" si="19"/>
        <v>0.33310777499999994</v>
      </c>
      <c r="P42" s="115">
        <f t="shared" si="19"/>
        <v>0.35873145000000001</v>
      </c>
      <c r="Q42" s="115">
        <f t="shared" si="19"/>
        <v>0.38435512499999996</v>
      </c>
      <c r="R42" s="115">
        <f t="shared" si="19"/>
        <v>0.40997879999999998</v>
      </c>
    </row>
    <row r="43" spans="1:18" s="60" customFormat="1" x14ac:dyDescent="0.35">
      <c r="B43" s="57"/>
      <c r="C43" s="114"/>
      <c r="D43" s="114"/>
      <c r="E43" s="114"/>
      <c r="F43" s="114"/>
      <c r="G43" s="114"/>
      <c r="H43" s="114"/>
      <c r="I43" s="114"/>
      <c r="J43" s="114"/>
      <c r="K43" s="114"/>
      <c r="L43" s="114"/>
      <c r="M43" s="114"/>
      <c r="N43" s="114"/>
      <c r="O43" s="114"/>
      <c r="P43" s="114"/>
      <c r="Q43" s="114"/>
      <c r="R43" s="114"/>
    </row>
    <row r="44" spans="1:18" s="60" customFormat="1" ht="43.5" x14ac:dyDescent="0.35">
      <c r="A44" s="109" t="s">
        <v>394</v>
      </c>
      <c r="B44" s="112">
        <v>0.1</v>
      </c>
      <c r="C44" s="48">
        <v>1</v>
      </c>
      <c r="D44" s="48">
        <v>2</v>
      </c>
      <c r="E44" s="48">
        <v>3</v>
      </c>
      <c r="F44" s="48">
        <v>4</v>
      </c>
      <c r="G44" s="48">
        <v>5</v>
      </c>
      <c r="H44" s="48">
        <v>6</v>
      </c>
      <c r="I44" s="48">
        <v>7</v>
      </c>
      <c r="J44" s="48">
        <v>8</v>
      </c>
      <c r="K44" s="48">
        <v>9</v>
      </c>
      <c r="L44" s="48">
        <v>10</v>
      </c>
      <c r="M44" s="48">
        <v>11</v>
      </c>
      <c r="N44" s="48">
        <v>12</v>
      </c>
      <c r="O44" s="48">
        <v>13</v>
      </c>
      <c r="P44" s="48">
        <v>14</v>
      </c>
      <c r="Q44" s="48">
        <v>15</v>
      </c>
      <c r="R44" s="48">
        <v>16</v>
      </c>
    </row>
    <row r="45" spans="1:18" s="60" customFormat="1" x14ac:dyDescent="0.35">
      <c r="A45" s="11" t="s">
        <v>382</v>
      </c>
      <c r="B45" s="16"/>
      <c r="C45" s="24">
        <f>($C$19-$C$19*5.5%)*C44</f>
        <v>0.17082449999999999</v>
      </c>
      <c r="D45" s="24">
        <f>($C$19-$C$19*5.5%)*D44</f>
        <v>0.34164899999999998</v>
      </c>
      <c r="E45" s="24">
        <f t="shared" ref="E45:J45" si="20">($C$19-$C$19*5.5%)*E44</f>
        <v>0.51247350000000003</v>
      </c>
      <c r="F45" s="24">
        <f t="shared" si="20"/>
        <v>0.68329799999999996</v>
      </c>
      <c r="G45" s="24">
        <f t="shared" si="20"/>
        <v>0.8541224999999999</v>
      </c>
      <c r="H45" s="24">
        <f t="shared" si="20"/>
        <v>1.0249470000000001</v>
      </c>
      <c r="I45" s="24">
        <f t="shared" si="20"/>
        <v>1.1957715</v>
      </c>
      <c r="J45" s="24">
        <f t="shared" si="20"/>
        <v>1.3665959999999999</v>
      </c>
      <c r="K45" s="24">
        <f t="shared" ref="K45:R45" si="21">($C$19-$C$19*5.5%)*K44</f>
        <v>1.5374204999999999</v>
      </c>
      <c r="L45" s="24">
        <f t="shared" si="21"/>
        <v>1.7082449999999998</v>
      </c>
      <c r="M45" s="24">
        <f t="shared" si="21"/>
        <v>1.8790694999999999</v>
      </c>
      <c r="N45" s="24">
        <f t="shared" si="21"/>
        <v>2.0498940000000001</v>
      </c>
      <c r="O45" s="24">
        <f t="shared" si="21"/>
        <v>2.2207184999999998</v>
      </c>
      <c r="P45" s="24">
        <f t="shared" si="21"/>
        <v>2.391543</v>
      </c>
      <c r="Q45" s="24">
        <f t="shared" si="21"/>
        <v>2.5623674999999997</v>
      </c>
      <c r="R45" s="24">
        <f t="shared" si="21"/>
        <v>2.7331919999999998</v>
      </c>
    </row>
    <row r="46" spans="1:18" s="60" customFormat="1" x14ac:dyDescent="0.35">
      <c r="A46" s="11" t="s">
        <v>386</v>
      </c>
      <c r="B46" s="16"/>
      <c r="C46" s="113">
        <f>C45*$B$44</f>
        <v>1.7082449999999999E-2</v>
      </c>
      <c r="D46" s="113">
        <f t="shared" ref="D46:J46" si="22">D45*$B$44</f>
        <v>3.4164899999999998E-2</v>
      </c>
      <c r="E46" s="113">
        <f t="shared" si="22"/>
        <v>5.1247350000000004E-2</v>
      </c>
      <c r="F46" s="113">
        <f t="shared" si="22"/>
        <v>6.8329799999999996E-2</v>
      </c>
      <c r="G46" s="113">
        <f t="shared" si="22"/>
        <v>8.5412249999999995E-2</v>
      </c>
      <c r="H46" s="113">
        <f t="shared" si="22"/>
        <v>0.10249470000000001</v>
      </c>
      <c r="I46" s="113">
        <f t="shared" si="22"/>
        <v>0.11957715000000001</v>
      </c>
      <c r="J46" s="113">
        <f t="shared" si="22"/>
        <v>0.13665959999999999</v>
      </c>
      <c r="K46" s="113">
        <f t="shared" ref="K46:R46" si="23">K45*$B$44</f>
        <v>0.15374204999999999</v>
      </c>
      <c r="L46" s="113">
        <f t="shared" si="23"/>
        <v>0.17082449999999999</v>
      </c>
      <c r="M46" s="113">
        <f t="shared" si="23"/>
        <v>0.18790695000000002</v>
      </c>
      <c r="N46" s="113">
        <f t="shared" si="23"/>
        <v>0.20498940000000002</v>
      </c>
      <c r="O46" s="113">
        <f t="shared" si="23"/>
        <v>0.22207184999999999</v>
      </c>
      <c r="P46" s="113">
        <f t="shared" si="23"/>
        <v>0.23915430000000001</v>
      </c>
      <c r="Q46" s="113">
        <f t="shared" si="23"/>
        <v>0.25623674999999996</v>
      </c>
      <c r="R46" s="113">
        <f t="shared" si="23"/>
        <v>0.27331919999999998</v>
      </c>
    </row>
    <row r="47" spans="1:18" s="60" customFormat="1" x14ac:dyDescent="0.35">
      <c r="A47" s="11" t="s">
        <v>387</v>
      </c>
      <c r="B47" s="16"/>
      <c r="C47" s="113">
        <f>C36-C46</f>
        <v>0.24999999999999992</v>
      </c>
      <c r="D47" s="113">
        <f t="shared" ref="D47:I47" si="24">D36-D46</f>
        <v>0.49999999999999983</v>
      </c>
      <c r="E47" s="113">
        <f t="shared" si="24"/>
        <v>0.74999999999999967</v>
      </c>
      <c r="F47" s="113">
        <f t="shared" si="24"/>
        <v>0.99999999999999967</v>
      </c>
      <c r="G47" s="113">
        <f t="shared" si="24"/>
        <v>1.2499999999999996</v>
      </c>
      <c r="H47" s="113">
        <f t="shared" si="24"/>
        <v>1.4999999999999993</v>
      </c>
      <c r="I47" s="113">
        <f t="shared" si="24"/>
        <v>1.7499999999999993</v>
      </c>
      <c r="J47" s="113">
        <f>J36-J46</f>
        <v>1.9999999999999993</v>
      </c>
      <c r="K47" s="113">
        <f t="shared" ref="K47:R47" si="25">K36-K46</f>
        <v>2.2499999999999991</v>
      </c>
      <c r="L47" s="113">
        <f t="shared" si="25"/>
        <v>2.4999999999999991</v>
      </c>
      <c r="M47" s="113">
        <f t="shared" si="25"/>
        <v>2.7499999999999991</v>
      </c>
      <c r="N47" s="113">
        <f t="shared" si="25"/>
        <v>2.9999999999999987</v>
      </c>
      <c r="O47" s="113">
        <f t="shared" si="25"/>
        <v>3.2499999999999991</v>
      </c>
      <c r="P47" s="113">
        <f t="shared" si="25"/>
        <v>3.4999999999999987</v>
      </c>
      <c r="Q47" s="113">
        <f t="shared" si="25"/>
        <v>3.7499999999999996</v>
      </c>
      <c r="R47" s="113">
        <f t="shared" si="25"/>
        <v>3.9999999999999987</v>
      </c>
    </row>
    <row r="49" spans="1:10" x14ac:dyDescent="0.35">
      <c r="A49" s="68" t="s">
        <v>417</v>
      </c>
      <c r="B49" s="67"/>
      <c r="C49" s="67"/>
      <c r="D49" s="67"/>
      <c r="E49" s="67"/>
      <c r="F49" s="67"/>
      <c r="G49" s="67"/>
      <c r="H49" s="67"/>
      <c r="I49" s="67"/>
      <c r="J49" s="67"/>
    </row>
    <row r="51" spans="1:10" x14ac:dyDescent="0.35">
      <c r="A51" s="117" t="s">
        <v>389</v>
      </c>
      <c r="B51" s="118"/>
    </row>
    <row r="52" spans="1:10" x14ac:dyDescent="0.35">
      <c r="A52" s="116" t="s">
        <v>409</v>
      </c>
      <c r="B52" s="148">
        <f>R42</f>
        <v>0.40997879999999998</v>
      </c>
    </row>
    <row r="53" spans="1:10" x14ac:dyDescent="0.35">
      <c r="A53" s="42" t="s">
        <v>410</v>
      </c>
      <c r="B53" s="149">
        <f>J36</f>
        <v>2.1366595999999993</v>
      </c>
    </row>
    <row r="54" spans="1:10" x14ac:dyDescent="0.35">
      <c r="A54" s="120" t="s">
        <v>48</v>
      </c>
      <c r="B54" s="34">
        <f>SUM(B52:B53)</f>
        <v>2.5466383999999991</v>
      </c>
    </row>
    <row r="56" spans="1:10" x14ac:dyDescent="0.35">
      <c r="A56" s="117" t="s">
        <v>390</v>
      </c>
      <c r="B56" s="118"/>
    </row>
    <row r="57" spans="1:10" x14ac:dyDescent="0.35">
      <c r="A57" s="116" t="s">
        <v>409</v>
      </c>
      <c r="B57" s="145">
        <f>R42</f>
        <v>0.40997879999999998</v>
      </c>
    </row>
    <row r="58" spans="1:10" x14ac:dyDescent="0.35">
      <c r="A58" s="42" t="s">
        <v>410</v>
      </c>
      <c r="B58" s="24">
        <f>J47</f>
        <v>1.9999999999999993</v>
      </c>
    </row>
    <row r="59" spans="1:10" x14ac:dyDescent="0.35">
      <c r="A59" s="120" t="s">
        <v>48</v>
      </c>
      <c r="B59" s="34">
        <f>SUM(B57:B58)</f>
        <v>2.4099787999999993</v>
      </c>
    </row>
    <row r="60" spans="1:10" x14ac:dyDescent="0.35">
      <c r="A60" s="121"/>
      <c r="B60" s="122"/>
    </row>
    <row r="61" spans="1:10" x14ac:dyDescent="0.35">
      <c r="A61" s="68" t="s">
        <v>422</v>
      </c>
      <c r="B61" s="67"/>
      <c r="C61" s="67"/>
      <c r="D61" s="67"/>
      <c r="E61" s="67"/>
      <c r="F61" s="67"/>
      <c r="G61" s="67"/>
      <c r="H61" s="67"/>
      <c r="I61" s="67"/>
      <c r="J61" s="67"/>
    </row>
    <row r="63" spans="1:10" x14ac:dyDescent="0.35">
      <c r="A63" s="117" t="s">
        <v>389</v>
      </c>
      <c r="B63" s="118"/>
    </row>
    <row r="64" spans="1:10" x14ac:dyDescent="0.35">
      <c r="A64" s="42" t="s">
        <v>405</v>
      </c>
      <c r="B64" s="24">
        <f>D19</f>
        <v>2.8922666666666665</v>
      </c>
    </row>
    <row r="65" spans="1:3" x14ac:dyDescent="0.35">
      <c r="A65" s="147" t="s">
        <v>409</v>
      </c>
      <c r="B65" s="145">
        <f>0-R42</f>
        <v>-0.40997879999999998</v>
      </c>
    </row>
    <row r="66" spans="1:3" x14ac:dyDescent="0.35">
      <c r="A66" s="120" t="s">
        <v>48</v>
      </c>
      <c r="B66" s="34">
        <f>SUM(B64:B65)</f>
        <v>2.4822878666666668</v>
      </c>
    </row>
    <row r="68" spans="1:3" x14ac:dyDescent="0.35">
      <c r="A68" s="133" t="s">
        <v>390</v>
      </c>
      <c r="B68" s="134"/>
    </row>
    <row r="69" spans="1:3" x14ac:dyDescent="0.35">
      <c r="A69" s="42" t="s">
        <v>405</v>
      </c>
      <c r="B69" s="24">
        <f>D19</f>
        <v>2.8922666666666665</v>
      </c>
    </row>
    <row r="70" spans="1:3" x14ac:dyDescent="0.35">
      <c r="A70" s="42" t="s">
        <v>409</v>
      </c>
      <c r="B70" s="24">
        <f>0-R42</f>
        <v>-0.40997879999999998</v>
      </c>
    </row>
    <row r="71" spans="1:3" x14ac:dyDescent="0.35">
      <c r="A71" s="42" t="s">
        <v>411</v>
      </c>
      <c r="B71" s="24">
        <f>J46</f>
        <v>0.13665959999999999</v>
      </c>
    </row>
    <row r="72" spans="1:3" x14ac:dyDescent="0.35">
      <c r="A72" s="120" t="s">
        <v>48</v>
      </c>
      <c r="B72" s="34">
        <f>SUM(B69:B71)</f>
        <v>2.6189474666666666</v>
      </c>
    </row>
    <row r="73" spans="1:3" s="40" customFormat="1" x14ac:dyDescent="0.35">
      <c r="A73" s="121"/>
      <c r="B73" s="122"/>
    </row>
    <row r="74" spans="1:3" s="40" customFormat="1" x14ac:dyDescent="0.35">
      <c r="A74" s="121"/>
      <c r="B74" s="122"/>
    </row>
    <row r="75" spans="1:3" s="40" customFormat="1" x14ac:dyDescent="0.35">
      <c r="A75" s="37" t="s">
        <v>96</v>
      </c>
      <c r="B75" s="122"/>
    </row>
    <row r="76" spans="1:3" s="40" customFormat="1" x14ac:dyDescent="0.35">
      <c r="A76" s="121"/>
      <c r="B76" s="122"/>
    </row>
    <row r="77" spans="1:3" x14ac:dyDescent="0.35">
      <c r="A77" s="2" t="s">
        <v>67</v>
      </c>
      <c r="B77" s="7"/>
    </row>
    <row r="78" spans="1:3" x14ac:dyDescent="0.35">
      <c r="A78" s="7" t="s">
        <v>116</v>
      </c>
      <c r="B78" s="7">
        <v>20</v>
      </c>
      <c r="C78" t="s">
        <v>474</v>
      </c>
    </row>
    <row r="79" spans="1:3" x14ac:dyDescent="0.35">
      <c r="A79" s="7" t="s">
        <v>140</v>
      </c>
      <c r="B79" s="7">
        <v>0</v>
      </c>
    </row>
    <row r="81" spans="1:2" x14ac:dyDescent="0.35">
      <c r="A81" s="39" t="s">
        <v>115</v>
      </c>
      <c r="B81" s="40"/>
    </row>
  </sheetData>
  <conditionalFormatting sqref="C35:R35">
    <cfRule type="cellIs" dxfId="32" priority="12" operator="greaterThanOrEqual">
      <formula>1</formula>
    </cfRule>
    <cfRule type="cellIs" dxfId="31" priority="13" operator="between">
      <formula>0.5</formula>
      <formula>1</formula>
    </cfRule>
  </conditionalFormatting>
  <conditionalFormatting sqref="C36:R36">
    <cfRule type="cellIs" dxfId="30" priority="10" operator="between">
      <formula>2</formula>
      <formula>4</formula>
    </cfRule>
    <cfRule type="cellIs" dxfId="29" priority="11" operator="greaterThanOrEqual">
      <formula>4</formula>
    </cfRule>
  </conditionalFormatting>
  <conditionalFormatting sqref="C46:R46">
    <cfRule type="cellIs" dxfId="28" priority="9" operator="greaterThanOrEqual">
      <formula>$J$42</formula>
    </cfRule>
  </conditionalFormatting>
  <conditionalFormatting sqref="C47:R47">
    <cfRule type="cellIs" dxfId="27" priority="7" operator="between">
      <formula>2</formula>
      <formula>4</formula>
    </cfRule>
    <cfRule type="cellIs" dxfId="26" priority="8" operator="greaterThanOrEqual">
      <formula>4</formula>
    </cfRule>
  </conditionalFormatting>
  <conditionalFormatting sqref="C42:R42">
    <cfRule type="cellIs" dxfId="25" priority="6" operator="greaterThanOrEqual">
      <formula>0.5</formula>
    </cfRule>
  </conditionalFormatting>
  <dataValidations count="1">
    <dataValidation type="list" allowBlank="1" showInputMessage="1" showErrorMessage="1" sqref="F6 A6:A9">
      <formula1>Ingrédients_recettes</formula1>
    </dataValidation>
  </dataValidations>
  <pageMargins left="0.7" right="0.7" top="0.75" bottom="0.75" header="0.3" footer="0.3"/>
  <pageSetup paperSize="9" scale="59" orientation="portrait" horizontalDpi="4294967293" verticalDpi="4294967293"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92"/>
  <sheetViews>
    <sheetView topLeftCell="A17" workbookViewId="0">
      <selection activeCell="B58" sqref="B58"/>
    </sheetView>
  </sheetViews>
  <sheetFormatPr baseColWidth="10" defaultRowHeight="14.5" x14ac:dyDescent="0.35"/>
  <cols>
    <col min="1" max="1" width="31.36328125" bestFit="1" customWidth="1"/>
    <col min="2" max="2" width="14.6328125" bestFit="1" customWidth="1"/>
    <col min="3" max="3" width="13.1796875" bestFit="1" customWidth="1"/>
    <col min="4" max="4" width="14.36328125" bestFit="1" customWidth="1"/>
    <col min="5" max="5" width="10.1796875" bestFit="1" customWidth="1"/>
    <col min="6" max="6" width="10" customWidth="1"/>
    <col min="7" max="7" width="9.81640625" customWidth="1"/>
    <col min="12" max="12" width="13.36328125" bestFit="1" customWidth="1"/>
  </cols>
  <sheetData>
    <row r="1" spans="1:8" x14ac:dyDescent="0.35">
      <c r="A1" s="43" t="s">
        <v>50</v>
      </c>
      <c r="B1" s="44"/>
      <c r="C1" s="44"/>
      <c r="D1" s="44"/>
      <c r="E1" s="44"/>
      <c r="F1" s="44"/>
      <c r="G1" s="44"/>
      <c r="H1" s="63"/>
    </row>
    <row r="2" spans="1:8" s="38" customFormat="1" x14ac:dyDescent="0.35">
      <c r="A2" s="73"/>
      <c r="B2" s="74"/>
      <c r="C2" s="74"/>
      <c r="D2" s="74"/>
      <c r="E2" s="74"/>
      <c r="F2" s="74"/>
      <c r="G2" s="74"/>
    </row>
    <row r="3" spans="1:8" s="38" customFormat="1" x14ac:dyDescent="0.35">
      <c r="A3" s="68" t="s">
        <v>276</v>
      </c>
      <c r="B3" s="75"/>
      <c r="C3" s="75"/>
      <c r="D3" s="75"/>
      <c r="E3" s="75"/>
      <c r="F3" s="75"/>
      <c r="G3" s="75"/>
      <c r="H3" s="67"/>
    </row>
    <row r="5" spans="1:8" x14ac:dyDescent="0.35">
      <c r="A5" s="2" t="s">
        <v>68</v>
      </c>
      <c r="B5" s="2" t="s">
        <v>41</v>
      </c>
      <c r="C5" s="2" t="s">
        <v>42</v>
      </c>
      <c r="D5" s="2" t="s">
        <v>40</v>
      </c>
    </row>
    <row r="6" spans="1:8" x14ac:dyDescent="0.35">
      <c r="A6" s="7" t="s">
        <v>152</v>
      </c>
      <c r="B6" s="6">
        <f>0.15</f>
        <v>0.15</v>
      </c>
      <c r="C6" s="31">
        <f t="shared" ref="C6:C13" si="0">IF(ISERROR(VLOOKUP(A6,Tableau_produits,6,FALSE)),0,VLOOKUP(A6,Tableau_produits,6,FALSE))</f>
        <v>2.2200000000000002</v>
      </c>
      <c r="D6" s="32">
        <f t="shared" ref="D6:D13" si="1">C6*B6</f>
        <v>0.33300000000000002</v>
      </c>
    </row>
    <row r="7" spans="1:8" x14ac:dyDescent="0.35">
      <c r="A7" s="7" t="s">
        <v>153</v>
      </c>
      <c r="B7" s="6">
        <f>0.035</f>
        <v>3.5000000000000003E-2</v>
      </c>
      <c r="C7" s="31">
        <f t="shared" si="0"/>
        <v>3.9866666666666668</v>
      </c>
      <c r="D7" s="32">
        <f t="shared" si="1"/>
        <v>0.13953333333333334</v>
      </c>
    </row>
    <row r="8" spans="1:8" x14ac:dyDescent="0.35">
      <c r="A8" s="7" t="s">
        <v>154</v>
      </c>
      <c r="B8" s="6">
        <f>(0.0375/5)</f>
        <v>7.4999999999999997E-3</v>
      </c>
      <c r="C8" s="31">
        <f t="shared" si="0"/>
        <v>0</v>
      </c>
      <c r="D8" s="32">
        <f t="shared" si="1"/>
        <v>0</v>
      </c>
    </row>
    <row r="9" spans="1:8" x14ac:dyDescent="0.35">
      <c r="A9" s="7" t="s">
        <v>155</v>
      </c>
      <c r="B9" s="6">
        <f>2</f>
        <v>2</v>
      </c>
      <c r="C9" s="31">
        <f t="shared" si="0"/>
        <v>0.45</v>
      </c>
      <c r="D9" s="32">
        <f t="shared" si="1"/>
        <v>0.9</v>
      </c>
    </row>
    <row r="10" spans="1:8" x14ac:dyDescent="0.35">
      <c r="A10" s="7" t="s">
        <v>109</v>
      </c>
      <c r="B10" s="10">
        <f>0.045</f>
        <v>4.4999999999999998E-2</v>
      </c>
      <c r="C10" s="31">
        <f t="shared" si="0"/>
        <v>9.56</v>
      </c>
      <c r="D10" s="32">
        <f t="shared" si="1"/>
        <v>0.43020000000000003</v>
      </c>
    </row>
    <row r="11" spans="1:8" x14ac:dyDescent="0.35">
      <c r="A11" s="7" t="s">
        <v>156</v>
      </c>
      <c r="B11" s="22">
        <f>0.1</f>
        <v>0.1</v>
      </c>
      <c r="C11" s="31">
        <f t="shared" si="0"/>
        <v>6.2499999999999991</v>
      </c>
      <c r="D11" s="32">
        <f t="shared" si="1"/>
        <v>0.625</v>
      </c>
    </row>
    <row r="12" spans="1:8" x14ac:dyDescent="0.35">
      <c r="A12" s="7" t="s">
        <v>157</v>
      </c>
      <c r="B12" s="21">
        <f>0.15</f>
        <v>0.15</v>
      </c>
      <c r="C12" s="31">
        <f t="shared" si="0"/>
        <v>1.2719999999999998</v>
      </c>
      <c r="D12" s="33">
        <f t="shared" si="1"/>
        <v>0.19079999999999997</v>
      </c>
    </row>
    <row r="13" spans="1:8" x14ac:dyDescent="0.35">
      <c r="A13" s="7" t="s">
        <v>111</v>
      </c>
      <c r="B13" s="21">
        <v>5.0000000000000001E-4</v>
      </c>
      <c r="C13" s="31">
        <f t="shared" si="0"/>
        <v>4.9800000000000004</v>
      </c>
      <c r="D13" s="33">
        <f t="shared" si="1"/>
        <v>2.4900000000000005E-3</v>
      </c>
    </row>
    <row r="14" spans="1:8" x14ac:dyDescent="0.35">
      <c r="A14" s="13" t="s">
        <v>48</v>
      </c>
      <c r="B14" s="13"/>
      <c r="C14" s="13"/>
      <c r="D14" s="34">
        <f>SUM(D6:D13)</f>
        <v>2.621023333333333</v>
      </c>
    </row>
    <row r="15" spans="1:8" x14ac:dyDescent="0.35">
      <c r="A15" s="34" t="str">
        <f>"Coût par portion ("&amp;ROUND(C18*1000,0)&amp;"g)"</f>
        <v>Coût par portion (0g)</v>
      </c>
      <c r="B15" s="13"/>
      <c r="C15" s="13"/>
      <c r="D15" s="34">
        <f>IF(E18=0,0,D14/E18)</f>
        <v>0.37443190476190474</v>
      </c>
    </row>
    <row r="16" spans="1:8" s="38" customFormat="1" x14ac:dyDescent="0.35">
      <c r="A16" s="57"/>
      <c r="B16" s="57"/>
      <c r="C16" s="57"/>
      <c r="D16" s="57"/>
    </row>
    <row r="17" spans="1:18" ht="43.5" x14ac:dyDescent="0.35">
      <c r="A17" s="2" t="s">
        <v>90</v>
      </c>
      <c r="B17" s="28" t="s">
        <v>91</v>
      </c>
      <c r="C17" s="28" t="s">
        <v>94</v>
      </c>
      <c r="D17" s="28" t="s">
        <v>92</v>
      </c>
      <c r="E17" s="28" t="s">
        <v>95</v>
      </c>
    </row>
    <row r="18" spans="1:18" x14ac:dyDescent="0.35">
      <c r="A18" s="7" t="s">
        <v>93</v>
      </c>
      <c r="B18" s="41"/>
      <c r="C18" s="41"/>
      <c r="D18" s="12">
        <v>7</v>
      </c>
      <c r="E18" s="30">
        <f>TRUNC(D18)</f>
        <v>7</v>
      </c>
    </row>
    <row r="19" spans="1:18" s="38" customFormat="1" x14ac:dyDescent="0.35">
      <c r="A19" s="60"/>
      <c r="B19" s="60"/>
      <c r="C19" s="60"/>
      <c r="D19" s="64"/>
      <c r="E19" s="64"/>
    </row>
    <row r="20" spans="1:18" s="38" customFormat="1" x14ac:dyDescent="0.35">
      <c r="A20" s="71" t="s">
        <v>277</v>
      </c>
      <c r="B20" s="69"/>
      <c r="C20" s="69"/>
      <c r="D20" s="70"/>
      <c r="E20" s="70"/>
      <c r="F20" s="67"/>
      <c r="G20" s="67"/>
      <c r="H20" s="67"/>
    </row>
    <row r="21" spans="1:18" s="38" customFormat="1" x14ac:dyDescent="0.35">
      <c r="A21" s="60"/>
      <c r="B21" s="60"/>
      <c r="C21" s="60"/>
      <c r="D21" s="64"/>
      <c r="E21" s="64"/>
    </row>
    <row r="22" spans="1:18" s="38" customFormat="1" x14ac:dyDescent="0.35">
      <c r="A22" s="16" t="s">
        <v>273</v>
      </c>
      <c r="B22" s="2" t="s">
        <v>267</v>
      </c>
      <c r="C22" s="2" t="s">
        <v>268</v>
      </c>
      <c r="D22" s="2" t="s">
        <v>269</v>
      </c>
      <c r="E22" s="64"/>
    </row>
    <row r="23" spans="1:18" s="38" customFormat="1" x14ac:dyDescent="0.35">
      <c r="A23" s="7" t="s">
        <v>278</v>
      </c>
      <c r="B23" s="78">
        <v>16</v>
      </c>
      <c r="C23" s="24">
        <f>D15</f>
        <v>0.37443190476190474</v>
      </c>
      <c r="D23" s="35">
        <f>C23*B23</f>
        <v>5.9909104761904759</v>
      </c>
      <c r="E23" s="64"/>
    </row>
    <row r="24" spans="1:18" s="38" customFormat="1" x14ac:dyDescent="0.35">
      <c r="A24" s="7" t="s">
        <v>279</v>
      </c>
      <c r="B24" s="79">
        <v>8</v>
      </c>
      <c r="C24" s="24">
        <f>C23</f>
        <v>0.37443190476190474</v>
      </c>
      <c r="D24" s="35">
        <f>C24*B24</f>
        <v>2.9954552380952379</v>
      </c>
      <c r="E24" s="64"/>
    </row>
    <row r="25" spans="1:18" s="38" customFormat="1" x14ac:dyDescent="0.35">
      <c r="A25" s="7" t="s">
        <v>280</v>
      </c>
      <c r="B25" s="72">
        <f>B23-B24</f>
        <v>8</v>
      </c>
      <c r="C25" s="82">
        <f>(D25/B25)*70%</f>
        <v>0.52420466666666665</v>
      </c>
      <c r="D25" s="35">
        <f>D23</f>
        <v>5.9909104761904759</v>
      </c>
      <c r="E25" s="64"/>
      <c r="F25" s="83"/>
    </row>
    <row r="26" spans="1:18" s="38" customFormat="1" x14ac:dyDescent="0.35">
      <c r="A26" s="60"/>
      <c r="B26" s="60"/>
      <c r="C26" s="60"/>
      <c r="D26" s="64"/>
      <c r="E26" s="64"/>
    </row>
    <row r="27" spans="1:18" x14ac:dyDescent="0.35">
      <c r="A27" s="16" t="s">
        <v>275</v>
      </c>
      <c r="B27" s="50" t="s">
        <v>235</v>
      </c>
      <c r="C27" s="2">
        <v>1</v>
      </c>
      <c r="D27" s="90">
        <v>2</v>
      </c>
      <c r="E27" s="2">
        <v>3</v>
      </c>
      <c r="F27" s="2">
        <v>4</v>
      </c>
      <c r="G27" s="23">
        <v>5</v>
      </c>
      <c r="H27" s="23">
        <v>6</v>
      </c>
      <c r="I27" s="23">
        <v>7</v>
      </c>
      <c r="J27" s="23">
        <v>8</v>
      </c>
      <c r="K27" s="23">
        <v>9</v>
      </c>
      <c r="L27" s="23">
        <v>10</v>
      </c>
      <c r="M27" s="23">
        <v>11</v>
      </c>
      <c r="N27" s="23">
        <v>12</v>
      </c>
      <c r="O27" s="23">
        <v>13</v>
      </c>
      <c r="P27" s="23">
        <v>14</v>
      </c>
      <c r="Q27" s="23">
        <v>15</v>
      </c>
      <c r="R27" s="23">
        <v>16</v>
      </c>
    </row>
    <row r="28" spans="1:18" x14ac:dyDescent="0.35">
      <c r="A28" s="17" t="s">
        <v>51</v>
      </c>
      <c r="B28" s="53"/>
      <c r="C28" s="24">
        <f t="shared" ref="C28:R28" si="2">$C$25*C27</f>
        <v>0.52420466666666665</v>
      </c>
      <c r="D28" s="24">
        <f t="shared" si="2"/>
        <v>1.0484093333333333</v>
      </c>
      <c r="E28" s="24">
        <f t="shared" si="2"/>
        <v>1.572614</v>
      </c>
      <c r="F28" s="24">
        <f t="shared" si="2"/>
        <v>2.0968186666666666</v>
      </c>
      <c r="G28" s="24">
        <f t="shared" si="2"/>
        <v>2.6210233333333335</v>
      </c>
      <c r="H28" s="24">
        <f t="shared" si="2"/>
        <v>3.1452279999999999</v>
      </c>
      <c r="I28" s="24">
        <f t="shared" si="2"/>
        <v>3.6694326666666663</v>
      </c>
      <c r="J28" s="24">
        <f t="shared" si="2"/>
        <v>4.1936373333333332</v>
      </c>
      <c r="K28" s="24">
        <f t="shared" si="2"/>
        <v>4.7178420000000001</v>
      </c>
      <c r="L28" s="24">
        <f t="shared" si="2"/>
        <v>5.242046666666667</v>
      </c>
      <c r="M28" s="24">
        <f t="shared" si="2"/>
        <v>5.766251333333333</v>
      </c>
      <c r="N28" s="24">
        <f t="shared" si="2"/>
        <v>6.2904559999999998</v>
      </c>
      <c r="O28" s="24">
        <f t="shared" si="2"/>
        <v>6.8146606666666667</v>
      </c>
      <c r="P28" s="24">
        <f t="shared" si="2"/>
        <v>7.3388653333333327</v>
      </c>
      <c r="Q28" s="24">
        <f t="shared" si="2"/>
        <v>7.8630699999999996</v>
      </c>
      <c r="R28" s="24">
        <f t="shared" si="2"/>
        <v>8.3872746666666664</v>
      </c>
    </row>
    <row r="29" spans="1:18" x14ac:dyDescent="0.35">
      <c r="A29" s="16" t="s">
        <v>471</v>
      </c>
      <c r="B29" s="54">
        <f>2/8</f>
        <v>0.25</v>
      </c>
      <c r="C29" s="24">
        <f t="shared" ref="C29:R29" si="3">(($C$28+$B$29)+$C$50)*C27</f>
        <v>0.80958848166666664</v>
      </c>
      <c r="D29" s="24">
        <f t="shared" si="3"/>
        <v>1.6191769633333333</v>
      </c>
      <c r="E29" s="24">
        <f t="shared" si="3"/>
        <v>2.4287654449999998</v>
      </c>
      <c r="F29" s="24">
        <f t="shared" si="3"/>
        <v>3.2383539266666665</v>
      </c>
      <c r="G29" s="24">
        <f t="shared" si="3"/>
        <v>4.0479424083333333</v>
      </c>
      <c r="H29" s="24">
        <f t="shared" si="3"/>
        <v>4.8575308899999996</v>
      </c>
      <c r="I29" s="24">
        <f t="shared" si="3"/>
        <v>5.6671193716666668</v>
      </c>
      <c r="J29" s="24">
        <f t="shared" si="3"/>
        <v>6.4767078533333331</v>
      </c>
      <c r="K29" s="24">
        <f t="shared" si="3"/>
        <v>7.2862963349999994</v>
      </c>
      <c r="L29" s="24">
        <f t="shared" si="3"/>
        <v>8.0958848166666666</v>
      </c>
      <c r="M29" s="24">
        <f t="shared" si="3"/>
        <v>8.9054732983333338</v>
      </c>
      <c r="N29" s="24">
        <f t="shared" si="3"/>
        <v>9.7150617799999992</v>
      </c>
      <c r="O29" s="24">
        <f t="shared" si="3"/>
        <v>10.524650261666666</v>
      </c>
      <c r="P29" s="24">
        <f t="shared" si="3"/>
        <v>11.334238743333334</v>
      </c>
      <c r="Q29" s="24">
        <f t="shared" si="3"/>
        <v>12.143827224999999</v>
      </c>
      <c r="R29" s="24">
        <f t="shared" si="3"/>
        <v>12.953415706666666</v>
      </c>
    </row>
    <row r="30" spans="1:18" ht="29" x14ac:dyDescent="0.35">
      <c r="A30" s="55" t="s">
        <v>380</v>
      </c>
      <c r="B30" s="56"/>
      <c r="C30" s="34">
        <f>C29+(C29*5.5%)</f>
        <v>0.8541158481583333</v>
      </c>
      <c r="D30" s="34">
        <f t="shared" ref="D30:L30" si="4">D29+(D29*5.5%)</f>
        <v>1.7082316963166666</v>
      </c>
      <c r="E30" s="34">
        <f t="shared" si="4"/>
        <v>2.5623475444749997</v>
      </c>
      <c r="F30" s="34">
        <f t="shared" si="4"/>
        <v>3.4164633926333332</v>
      </c>
      <c r="G30" s="34">
        <f t="shared" si="4"/>
        <v>4.2705792407916663</v>
      </c>
      <c r="H30" s="34">
        <f t="shared" si="4"/>
        <v>5.1246950889499994</v>
      </c>
      <c r="I30" s="34">
        <f t="shared" si="4"/>
        <v>5.9788109371083333</v>
      </c>
      <c r="J30" s="34">
        <f t="shared" si="4"/>
        <v>6.8329267852666664</v>
      </c>
      <c r="K30" s="34">
        <f t="shared" si="4"/>
        <v>7.6870426334249995</v>
      </c>
      <c r="L30" s="34">
        <f t="shared" si="4"/>
        <v>8.5411584815833326</v>
      </c>
      <c r="M30" s="34">
        <f t="shared" ref="M30" si="5">M29+(M29*5.5%)</f>
        <v>9.3952743297416674</v>
      </c>
      <c r="N30" s="34">
        <f t="shared" ref="N30" si="6">N29+(N29*5.5%)</f>
        <v>10.249390177899999</v>
      </c>
      <c r="O30" s="34">
        <f t="shared" ref="O30" si="7">O29+(O29*5.5%)</f>
        <v>11.103506026058334</v>
      </c>
      <c r="P30" s="34">
        <f t="shared" ref="P30" si="8">P29+(P29*5.5%)</f>
        <v>11.957621874216667</v>
      </c>
      <c r="Q30" s="34">
        <f t="shared" ref="Q30:R30" si="9">Q29+(Q29*5.5%)</f>
        <v>12.811737722375</v>
      </c>
      <c r="R30" s="34">
        <f t="shared" si="9"/>
        <v>13.665853570533333</v>
      </c>
    </row>
    <row r="31" spans="1:18" s="38" customFormat="1" x14ac:dyDescent="0.35">
      <c r="A31" s="49" t="s">
        <v>233</v>
      </c>
      <c r="B31" s="49"/>
      <c r="C31" s="15"/>
      <c r="D31" s="15"/>
      <c r="E31" s="15"/>
      <c r="F31" s="15"/>
      <c r="G31" s="15"/>
      <c r="H31" s="15"/>
      <c r="I31" s="15"/>
      <c r="J31" s="15"/>
    </row>
    <row r="32" spans="1:18" x14ac:dyDescent="0.35">
      <c r="A32" s="15"/>
      <c r="B32" s="15"/>
      <c r="C32" s="14"/>
      <c r="D32" s="14"/>
      <c r="E32" s="14"/>
      <c r="F32" s="14"/>
    </row>
    <row r="33" spans="1:18" x14ac:dyDescent="0.35">
      <c r="A33" s="16" t="s">
        <v>49</v>
      </c>
      <c r="B33" s="51"/>
      <c r="C33" s="18">
        <v>1</v>
      </c>
      <c r="D33" s="18">
        <v>2</v>
      </c>
      <c r="E33" s="18">
        <v>3</v>
      </c>
      <c r="F33" s="18">
        <v>4</v>
      </c>
      <c r="G33" s="25">
        <v>5</v>
      </c>
      <c r="H33" s="25">
        <v>6</v>
      </c>
      <c r="I33" s="25">
        <v>7</v>
      </c>
      <c r="J33" s="25">
        <v>8</v>
      </c>
      <c r="K33" s="25">
        <v>9</v>
      </c>
      <c r="L33" s="25">
        <v>10</v>
      </c>
      <c r="M33" s="25">
        <v>11</v>
      </c>
      <c r="N33" s="25">
        <v>12</v>
      </c>
      <c r="O33" s="25">
        <v>13</v>
      </c>
      <c r="P33" s="25">
        <v>14</v>
      </c>
      <c r="Q33" s="25">
        <v>15</v>
      </c>
      <c r="R33" s="25">
        <v>16</v>
      </c>
    </row>
    <row r="34" spans="1:18" x14ac:dyDescent="0.35">
      <c r="A34" s="17" t="s">
        <v>52</v>
      </c>
      <c r="B34" s="52"/>
      <c r="C34" s="24">
        <f>C28-($D$15*C33)</f>
        <v>0.14977276190476191</v>
      </c>
      <c r="D34" s="24">
        <f t="shared" ref="D34:L34" si="10">D28-($D$15*D33)</f>
        <v>0.29954552380952382</v>
      </c>
      <c r="E34" s="24">
        <f t="shared" si="10"/>
        <v>0.44931828571428567</v>
      </c>
      <c r="F34" s="24">
        <f t="shared" si="10"/>
        <v>0.59909104761904763</v>
      </c>
      <c r="G34" s="24">
        <f t="shared" si="10"/>
        <v>0.74886380952380982</v>
      </c>
      <c r="H34" s="24">
        <f t="shared" si="10"/>
        <v>0.89863657142857134</v>
      </c>
      <c r="I34" s="24">
        <f t="shared" si="10"/>
        <v>1.0484093333333333</v>
      </c>
      <c r="J34" s="24">
        <f t="shared" si="10"/>
        <v>1.1981820952380953</v>
      </c>
      <c r="K34" s="24">
        <f t="shared" si="10"/>
        <v>1.3479548571428572</v>
      </c>
      <c r="L34" s="24">
        <f t="shared" si="10"/>
        <v>1.4977276190476196</v>
      </c>
      <c r="M34" s="24">
        <f t="shared" ref="M34:R34" si="11">M28-($D$15*M33)</f>
        <v>1.6475003809523807</v>
      </c>
      <c r="N34" s="24">
        <f t="shared" si="11"/>
        <v>1.7972731428571427</v>
      </c>
      <c r="O34" s="24">
        <f t="shared" si="11"/>
        <v>1.9470459047619046</v>
      </c>
      <c r="P34" s="24">
        <f t="shared" si="11"/>
        <v>2.0968186666666666</v>
      </c>
      <c r="Q34" s="24">
        <f t="shared" si="11"/>
        <v>2.2465914285714286</v>
      </c>
      <c r="R34" s="24">
        <f t="shared" si="11"/>
        <v>2.3963641904761905</v>
      </c>
    </row>
    <row r="35" spans="1:18" x14ac:dyDescent="0.35">
      <c r="A35" s="17" t="s">
        <v>53</v>
      </c>
      <c r="B35" s="52"/>
      <c r="C35" s="24">
        <f>C29-C28</f>
        <v>0.28538381499999999</v>
      </c>
      <c r="D35" s="24">
        <f t="shared" ref="D35:L35" si="12">D29-D28</f>
        <v>0.57076762999999997</v>
      </c>
      <c r="E35" s="24">
        <f t="shared" si="12"/>
        <v>0.85615144499999984</v>
      </c>
      <c r="F35" s="24">
        <f t="shared" si="12"/>
        <v>1.1415352599999999</v>
      </c>
      <c r="G35" s="24">
        <f t="shared" si="12"/>
        <v>1.4269190749999998</v>
      </c>
      <c r="H35" s="24">
        <f t="shared" si="12"/>
        <v>1.7123028899999997</v>
      </c>
      <c r="I35" s="24">
        <f t="shared" si="12"/>
        <v>1.9976867050000005</v>
      </c>
      <c r="J35" s="24">
        <f t="shared" si="12"/>
        <v>2.2830705199999999</v>
      </c>
      <c r="K35" s="24">
        <f t="shared" si="12"/>
        <v>2.5684543349999993</v>
      </c>
      <c r="L35" s="24">
        <f t="shared" si="12"/>
        <v>2.8538381499999996</v>
      </c>
      <c r="M35" s="24">
        <f t="shared" ref="M35:R35" si="13">M29-M28</f>
        <v>3.1392219650000008</v>
      </c>
      <c r="N35" s="24">
        <f t="shared" si="13"/>
        <v>3.4246057799999994</v>
      </c>
      <c r="O35" s="24">
        <f t="shared" si="13"/>
        <v>3.7099895949999997</v>
      </c>
      <c r="P35" s="24">
        <f t="shared" si="13"/>
        <v>3.9953734100000009</v>
      </c>
      <c r="Q35" s="24">
        <f t="shared" si="13"/>
        <v>4.2807572249999994</v>
      </c>
      <c r="R35" s="24">
        <f t="shared" si="13"/>
        <v>4.5661410399999998</v>
      </c>
    </row>
    <row r="36" spans="1:18" x14ac:dyDescent="0.35">
      <c r="A36" s="49" t="s">
        <v>234</v>
      </c>
    </row>
    <row r="38" spans="1:18" x14ac:dyDescent="0.35">
      <c r="A38" s="2" t="s">
        <v>236</v>
      </c>
      <c r="B38" s="56"/>
      <c r="C38" s="47">
        <v>1</v>
      </c>
      <c r="D38" s="47">
        <v>2</v>
      </c>
      <c r="E38" s="47">
        <v>3</v>
      </c>
      <c r="F38" s="47">
        <v>4</v>
      </c>
      <c r="G38" s="48">
        <v>5</v>
      </c>
      <c r="H38" s="48">
        <v>6</v>
      </c>
      <c r="I38" s="48">
        <v>7</v>
      </c>
      <c r="J38" s="48">
        <v>8</v>
      </c>
      <c r="K38" s="48">
        <v>9</v>
      </c>
      <c r="L38" s="48">
        <v>10</v>
      </c>
      <c r="M38" s="48">
        <v>11</v>
      </c>
      <c r="N38" s="48">
        <v>12</v>
      </c>
      <c r="O38" s="48">
        <v>13</v>
      </c>
      <c r="P38" s="48">
        <v>14</v>
      </c>
      <c r="Q38" s="48">
        <v>15</v>
      </c>
      <c r="R38" s="48">
        <v>16</v>
      </c>
    </row>
    <row r="39" spans="1:18" x14ac:dyDescent="0.35">
      <c r="A39" s="7" t="s">
        <v>238</v>
      </c>
      <c r="B39" s="56"/>
      <c r="C39" s="59">
        <f>IF($D$23=0,0,(C28)/$D$23)</f>
        <v>8.7500000000000008E-2</v>
      </c>
      <c r="D39" s="59">
        <f t="shared" ref="D39:L39" si="14">IF($D$23=0,0,(D28)/$D$23)</f>
        <v>0.17500000000000002</v>
      </c>
      <c r="E39" s="59">
        <f t="shared" si="14"/>
        <v>0.26250000000000001</v>
      </c>
      <c r="F39" s="59">
        <f t="shared" si="14"/>
        <v>0.35000000000000003</v>
      </c>
      <c r="G39" s="59">
        <f t="shared" si="14"/>
        <v>0.43750000000000006</v>
      </c>
      <c r="H39" s="59">
        <f t="shared" si="14"/>
        <v>0.52500000000000002</v>
      </c>
      <c r="I39" s="59">
        <f t="shared" si="14"/>
        <v>0.61249999999999993</v>
      </c>
      <c r="J39" s="59">
        <f t="shared" si="14"/>
        <v>0.70000000000000007</v>
      </c>
      <c r="K39" s="59">
        <f t="shared" si="14"/>
        <v>0.78750000000000009</v>
      </c>
      <c r="L39" s="59">
        <f t="shared" si="14"/>
        <v>0.87500000000000011</v>
      </c>
      <c r="M39" s="59">
        <f t="shared" ref="M39:R39" si="15">IF($D$23=0,0,(M28)/$D$23)</f>
        <v>0.96250000000000002</v>
      </c>
      <c r="N39" s="59">
        <f t="shared" si="15"/>
        <v>1.05</v>
      </c>
      <c r="O39" s="59">
        <f t="shared" si="15"/>
        <v>1.1375</v>
      </c>
      <c r="P39" s="59">
        <f t="shared" si="15"/>
        <v>1.2249999999999999</v>
      </c>
      <c r="Q39" s="59">
        <f t="shared" si="15"/>
        <v>1.3125</v>
      </c>
      <c r="R39" s="59">
        <f t="shared" si="15"/>
        <v>1.4000000000000001</v>
      </c>
    </row>
    <row r="40" spans="1:18" x14ac:dyDescent="0.35">
      <c r="A40" s="7" t="s">
        <v>237</v>
      </c>
      <c r="B40" s="56"/>
      <c r="C40" s="24">
        <f>C35</f>
        <v>0.28538381499999999</v>
      </c>
      <c r="D40" s="24">
        <f t="shared" ref="D40:H40" si="16">D35</f>
        <v>0.57076762999999997</v>
      </c>
      <c r="E40" s="24">
        <f t="shared" si="16"/>
        <v>0.85615144499999984</v>
      </c>
      <c r="F40" s="24">
        <f t="shared" si="16"/>
        <v>1.1415352599999999</v>
      </c>
      <c r="G40" s="24">
        <f t="shared" si="16"/>
        <v>1.4269190749999998</v>
      </c>
      <c r="H40" s="24">
        <f t="shared" si="16"/>
        <v>1.7123028899999997</v>
      </c>
      <c r="I40" s="24">
        <f t="shared" ref="I40:L40" si="17">I35</f>
        <v>1.9976867050000005</v>
      </c>
      <c r="J40" s="24">
        <f t="shared" si="17"/>
        <v>2.2830705199999999</v>
      </c>
      <c r="K40" s="24">
        <f t="shared" si="17"/>
        <v>2.5684543349999993</v>
      </c>
      <c r="L40" s="24">
        <f t="shared" si="17"/>
        <v>2.8538381499999996</v>
      </c>
      <c r="M40" s="24">
        <f t="shared" ref="M40:R40" si="18">M35</f>
        <v>3.1392219650000008</v>
      </c>
      <c r="N40" s="24">
        <f t="shared" si="18"/>
        <v>3.4246057799999994</v>
      </c>
      <c r="O40" s="24">
        <f t="shared" si="18"/>
        <v>3.7099895949999997</v>
      </c>
      <c r="P40" s="24">
        <f t="shared" si="18"/>
        <v>3.9953734100000009</v>
      </c>
      <c r="Q40" s="24">
        <f t="shared" si="18"/>
        <v>4.2807572249999994</v>
      </c>
      <c r="R40" s="24">
        <f t="shared" si="18"/>
        <v>4.5661410399999998</v>
      </c>
    </row>
    <row r="42" spans="1:18" s="60" customFormat="1" x14ac:dyDescent="0.35">
      <c r="A42" s="71" t="s">
        <v>384</v>
      </c>
      <c r="B42" s="76"/>
      <c r="C42" s="111"/>
      <c r="D42" s="111"/>
      <c r="E42" s="111"/>
      <c r="F42" s="111"/>
      <c r="G42" s="111"/>
      <c r="H42" s="111"/>
      <c r="I42" s="111"/>
      <c r="J42" s="111"/>
    </row>
    <row r="43" spans="1:18" s="60" customFormat="1" x14ac:dyDescent="0.35">
      <c r="B43" s="57"/>
      <c r="C43" s="15"/>
      <c r="D43" s="15"/>
      <c r="E43" s="15"/>
      <c r="F43" s="15"/>
      <c r="G43" s="15"/>
      <c r="H43" s="15"/>
      <c r="I43" s="15"/>
      <c r="J43" s="15"/>
    </row>
    <row r="44" spans="1:18" s="60" customFormat="1" ht="43.5" x14ac:dyDescent="0.35">
      <c r="A44" s="109" t="s">
        <v>385</v>
      </c>
      <c r="B44" s="112">
        <v>0.15</v>
      </c>
      <c r="C44" s="48">
        <v>1</v>
      </c>
      <c r="D44" s="48">
        <v>2</v>
      </c>
      <c r="E44" s="48">
        <v>3</v>
      </c>
      <c r="F44" s="48">
        <v>4</v>
      </c>
      <c r="G44" s="48">
        <v>5</v>
      </c>
      <c r="H44" s="48">
        <v>6</v>
      </c>
      <c r="I44" s="48">
        <v>7</v>
      </c>
      <c r="J44" s="48">
        <v>8</v>
      </c>
      <c r="K44" s="48">
        <v>9</v>
      </c>
      <c r="L44" s="48">
        <v>10</v>
      </c>
      <c r="M44" s="48">
        <v>11</v>
      </c>
      <c r="N44" s="48">
        <v>12</v>
      </c>
      <c r="O44" s="48">
        <v>13</v>
      </c>
      <c r="P44" s="48">
        <v>14</v>
      </c>
      <c r="Q44" s="48">
        <v>15</v>
      </c>
      <c r="R44" s="48">
        <v>16</v>
      </c>
    </row>
    <row r="45" spans="1:18" s="60" customFormat="1" x14ac:dyDescent="0.35">
      <c r="A45" s="11" t="s">
        <v>382</v>
      </c>
      <c r="B45" s="110"/>
      <c r="C45" s="24">
        <f t="shared" ref="C45:R45" si="19">($C$23-$C$23*5.5%)*C44</f>
        <v>0.35383814999999996</v>
      </c>
      <c r="D45" s="24">
        <f t="shared" si="19"/>
        <v>0.70767629999999992</v>
      </c>
      <c r="E45" s="24">
        <f t="shared" si="19"/>
        <v>1.0615144499999998</v>
      </c>
      <c r="F45" s="24">
        <f t="shared" si="19"/>
        <v>1.4153525999999998</v>
      </c>
      <c r="G45" s="24">
        <f t="shared" si="19"/>
        <v>1.7691907499999999</v>
      </c>
      <c r="H45" s="24">
        <f t="shared" si="19"/>
        <v>2.1230288999999996</v>
      </c>
      <c r="I45" s="24">
        <f t="shared" si="19"/>
        <v>2.4768670499999996</v>
      </c>
      <c r="J45" s="24">
        <f t="shared" si="19"/>
        <v>2.8307051999999997</v>
      </c>
      <c r="K45" s="24">
        <f t="shared" si="19"/>
        <v>3.1845433499999998</v>
      </c>
      <c r="L45" s="24">
        <f t="shared" si="19"/>
        <v>3.5383814999999998</v>
      </c>
      <c r="M45" s="24">
        <f t="shared" si="19"/>
        <v>3.8922196499999995</v>
      </c>
      <c r="N45" s="24">
        <f t="shared" si="19"/>
        <v>4.2460577999999991</v>
      </c>
      <c r="O45" s="24">
        <f t="shared" si="19"/>
        <v>4.5998959499999996</v>
      </c>
      <c r="P45" s="24">
        <f t="shared" si="19"/>
        <v>4.9537340999999993</v>
      </c>
      <c r="Q45" s="24">
        <f t="shared" si="19"/>
        <v>5.3075722499999998</v>
      </c>
      <c r="R45" s="24">
        <f t="shared" si="19"/>
        <v>5.6614103999999994</v>
      </c>
    </row>
    <row r="46" spans="1:18" s="60" customFormat="1" x14ac:dyDescent="0.35">
      <c r="A46" s="11" t="s">
        <v>281</v>
      </c>
      <c r="B46" s="16"/>
      <c r="C46" s="115">
        <f t="shared" ref="C46:R46" si="20">C45*$B$44</f>
        <v>5.3075722499999992E-2</v>
      </c>
      <c r="D46" s="115">
        <f t="shared" si="20"/>
        <v>0.10615144499999998</v>
      </c>
      <c r="E46" s="115">
        <f t="shared" si="20"/>
        <v>0.15922716749999996</v>
      </c>
      <c r="F46" s="115">
        <f t="shared" si="20"/>
        <v>0.21230288999999997</v>
      </c>
      <c r="G46" s="115">
        <f t="shared" si="20"/>
        <v>0.2653786125</v>
      </c>
      <c r="H46" s="115">
        <f t="shared" si="20"/>
        <v>0.31845433499999992</v>
      </c>
      <c r="I46" s="115">
        <f t="shared" si="20"/>
        <v>0.37153005749999995</v>
      </c>
      <c r="J46" s="115">
        <f t="shared" si="20"/>
        <v>0.42460577999999993</v>
      </c>
      <c r="K46" s="115">
        <f t="shared" si="20"/>
        <v>0.47768150249999997</v>
      </c>
      <c r="L46" s="115">
        <f t="shared" si="20"/>
        <v>0.530757225</v>
      </c>
      <c r="M46" s="115">
        <f t="shared" si="20"/>
        <v>0.58383294749999992</v>
      </c>
      <c r="N46" s="115">
        <f t="shared" si="20"/>
        <v>0.63690866999999984</v>
      </c>
      <c r="O46" s="115">
        <f t="shared" si="20"/>
        <v>0.68998439249999988</v>
      </c>
      <c r="P46" s="115">
        <f t="shared" si="20"/>
        <v>0.74306011499999991</v>
      </c>
      <c r="Q46" s="115">
        <f t="shared" si="20"/>
        <v>0.79613583749999994</v>
      </c>
      <c r="R46" s="115">
        <f t="shared" si="20"/>
        <v>0.84921155999999987</v>
      </c>
    </row>
    <row r="47" spans="1:18" s="60" customFormat="1" x14ac:dyDescent="0.35">
      <c r="B47" s="57"/>
      <c r="C47" s="114"/>
      <c r="D47" s="114"/>
      <c r="E47" s="114"/>
      <c r="F47" s="114"/>
      <c r="G47" s="114"/>
      <c r="H47" s="114"/>
      <c r="I47" s="114"/>
      <c r="J47" s="114"/>
      <c r="K47" s="114"/>
      <c r="L47" s="114"/>
      <c r="M47" s="114"/>
      <c r="N47" s="114"/>
      <c r="O47" s="114"/>
      <c r="P47" s="114"/>
      <c r="Q47" s="114"/>
      <c r="R47" s="114"/>
    </row>
    <row r="48" spans="1:18" s="60" customFormat="1" ht="46" customHeight="1" x14ac:dyDescent="0.35">
      <c r="A48" s="109" t="s">
        <v>408</v>
      </c>
      <c r="B48" s="112">
        <v>0.1</v>
      </c>
      <c r="C48" s="48">
        <v>1</v>
      </c>
      <c r="D48" s="48">
        <v>2</v>
      </c>
      <c r="E48" s="48">
        <v>3</v>
      </c>
      <c r="F48" s="48">
        <v>4</v>
      </c>
      <c r="G48" s="48">
        <v>5</v>
      </c>
      <c r="H48" s="48">
        <v>6</v>
      </c>
      <c r="I48" s="48">
        <v>7</v>
      </c>
      <c r="J48" s="48">
        <v>8</v>
      </c>
      <c r="K48" s="48">
        <v>9</v>
      </c>
      <c r="L48" s="48">
        <v>10</v>
      </c>
      <c r="M48" s="48">
        <v>11</v>
      </c>
      <c r="N48" s="48">
        <v>12</v>
      </c>
      <c r="O48" s="48">
        <v>13</v>
      </c>
      <c r="P48" s="48">
        <v>14</v>
      </c>
      <c r="Q48" s="48">
        <v>15</v>
      </c>
      <c r="R48" s="48">
        <v>16</v>
      </c>
    </row>
    <row r="49" spans="1:18" s="60" customFormat="1" x14ac:dyDescent="0.35">
      <c r="A49" s="11" t="s">
        <v>382</v>
      </c>
      <c r="B49" s="16"/>
      <c r="C49" s="24">
        <f t="shared" ref="C49:R49" si="21">($C$23-$C$23*5.5%)*C48</f>
        <v>0.35383814999999996</v>
      </c>
      <c r="D49" s="24">
        <f t="shared" si="21"/>
        <v>0.70767629999999992</v>
      </c>
      <c r="E49" s="24">
        <f t="shared" si="21"/>
        <v>1.0615144499999998</v>
      </c>
      <c r="F49" s="24">
        <f t="shared" si="21"/>
        <v>1.4153525999999998</v>
      </c>
      <c r="G49" s="24">
        <f t="shared" si="21"/>
        <v>1.7691907499999999</v>
      </c>
      <c r="H49" s="24">
        <f t="shared" si="21"/>
        <v>2.1230288999999996</v>
      </c>
      <c r="I49" s="24">
        <f t="shared" si="21"/>
        <v>2.4768670499999996</v>
      </c>
      <c r="J49" s="24">
        <f t="shared" si="21"/>
        <v>2.8307051999999997</v>
      </c>
      <c r="K49" s="24">
        <f t="shared" si="21"/>
        <v>3.1845433499999998</v>
      </c>
      <c r="L49" s="24">
        <f t="shared" si="21"/>
        <v>3.5383814999999998</v>
      </c>
      <c r="M49" s="24">
        <f t="shared" si="21"/>
        <v>3.8922196499999995</v>
      </c>
      <c r="N49" s="24">
        <f t="shared" si="21"/>
        <v>4.2460577999999991</v>
      </c>
      <c r="O49" s="24">
        <f t="shared" si="21"/>
        <v>4.5998959499999996</v>
      </c>
      <c r="P49" s="24">
        <f t="shared" si="21"/>
        <v>4.9537340999999993</v>
      </c>
      <c r="Q49" s="24">
        <f t="shared" si="21"/>
        <v>5.3075722499999998</v>
      </c>
      <c r="R49" s="24">
        <f t="shared" si="21"/>
        <v>5.6614103999999994</v>
      </c>
    </row>
    <row r="50" spans="1:18" s="60" customFormat="1" x14ac:dyDescent="0.35">
      <c r="A50" s="11" t="s">
        <v>386</v>
      </c>
      <c r="B50" s="16"/>
      <c r="C50" s="113">
        <f t="shared" ref="C50:R50" si="22">C49*$B$48</f>
        <v>3.5383814999999999E-2</v>
      </c>
      <c r="D50" s="113">
        <f t="shared" si="22"/>
        <v>7.0767629999999998E-2</v>
      </c>
      <c r="E50" s="113">
        <f t="shared" si="22"/>
        <v>0.10615144499999998</v>
      </c>
      <c r="F50" s="113">
        <f t="shared" si="22"/>
        <v>0.14153526</v>
      </c>
      <c r="G50" s="113">
        <f t="shared" si="22"/>
        <v>0.17691907500000001</v>
      </c>
      <c r="H50" s="113">
        <f t="shared" si="22"/>
        <v>0.21230288999999997</v>
      </c>
      <c r="I50" s="113">
        <f t="shared" si="22"/>
        <v>0.24768670499999998</v>
      </c>
      <c r="J50" s="113">
        <f t="shared" si="22"/>
        <v>0.28307051999999999</v>
      </c>
      <c r="K50" s="113">
        <f t="shared" si="22"/>
        <v>0.31845433499999998</v>
      </c>
      <c r="L50" s="113">
        <f t="shared" si="22"/>
        <v>0.35383815000000002</v>
      </c>
      <c r="M50" s="113">
        <f t="shared" si="22"/>
        <v>0.38922196499999995</v>
      </c>
      <c r="N50" s="113">
        <f t="shared" si="22"/>
        <v>0.42460577999999993</v>
      </c>
      <c r="O50" s="113">
        <f t="shared" si="22"/>
        <v>0.45998959499999997</v>
      </c>
      <c r="P50" s="113">
        <f t="shared" si="22"/>
        <v>0.49537340999999996</v>
      </c>
      <c r="Q50" s="113">
        <f t="shared" si="22"/>
        <v>0.530757225</v>
      </c>
      <c r="R50" s="113">
        <f t="shared" si="22"/>
        <v>0.56614103999999998</v>
      </c>
    </row>
    <row r="51" spans="1:18" s="60" customFormat="1" x14ac:dyDescent="0.35">
      <c r="A51" s="11" t="s">
        <v>387</v>
      </c>
      <c r="B51" s="16"/>
      <c r="C51" s="113">
        <f>C40-C50</f>
        <v>0.25</v>
      </c>
      <c r="D51" s="113">
        <f t="shared" ref="D51:J51" si="23">D40-D50</f>
        <v>0.5</v>
      </c>
      <c r="E51" s="113">
        <f t="shared" si="23"/>
        <v>0.74999999999999989</v>
      </c>
      <c r="F51" s="113">
        <f t="shared" si="23"/>
        <v>1</v>
      </c>
      <c r="G51" s="113">
        <f t="shared" si="23"/>
        <v>1.2499999999999998</v>
      </c>
      <c r="H51" s="113">
        <f t="shared" si="23"/>
        <v>1.4999999999999998</v>
      </c>
      <c r="I51" s="113">
        <f t="shared" si="23"/>
        <v>1.7500000000000004</v>
      </c>
      <c r="J51" s="113">
        <f t="shared" si="23"/>
        <v>2</v>
      </c>
      <c r="K51" s="113">
        <f t="shared" ref="K51" si="24">K40-K50</f>
        <v>2.2499999999999991</v>
      </c>
      <c r="L51" s="113">
        <f t="shared" ref="L51" si="25">L40-L50</f>
        <v>2.4999999999999996</v>
      </c>
      <c r="M51" s="113">
        <f t="shared" ref="M51" si="26">M40-M50</f>
        <v>2.7500000000000009</v>
      </c>
      <c r="N51" s="113">
        <f t="shared" ref="N51" si="27">N40-N50</f>
        <v>2.9999999999999996</v>
      </c>
      <c r="O51" s="113">
        <f t="shared" ref="O51" si="28">O40-O50</f>
        <v>3.2499999999999996</v>
      </c>
      <c r="P51" s="113">
        <f t="shared" ref="P51" si="29">P40-P50</f>
        <v>3.5000000000000009</v>
      </c>
      <c r="Q51" s="113">
        <f t="shared" ref="Q51" si="30">Q40-Q50</f>
        <v>3.7499999999999996</v>
      </c>
      <c r="R51" s="113">
        <f t="shared" ref="R51" si="31">R40-R50</f>
        <v>4</v>
      </c>
    </row>
    <row r="53" spans="1:18" x14ac:dyDescent="0.35">
      <c r="A53" s="68" t="s">
        <v>417</v>
      </c>
      <c r="B53" s="67"/>
      <c r="C53" s="67"/>
      <c r="D53" s="67"/>
      <c r="E53" s="67"/>
      <c r="F53" s="67"/>
      <c r="G53" s="67"/>
      <c r="H53" s="67"/>
      <c r="I53" s="67"/>
      <c r="J53" s="67"/>
    </row>
    <row r="55" spans="1:18" x14ac:dyDescent="0.35">
      <c r="A55" s="117" t="s">
        <v>389</v>
      </c>
      <c r="B55" s="118"/>
    </row>
    <row r="56" spans="1:18" ht="29" x14ac:dyDescent="0.35">
      <c r="A56" s="116" t="s">
        <v>409</v>
      </c>
      <c r="B56" s="136">
        <f>R46</f>
        <v>0.84921155999999987</v>
      </c>
    </row>
    <row r="57" spans="1:18" x14ac:dyDescent="0.35">
      <c r="A57" s="42" t="s">
        <v>410</v>
      </c>
      <c r="B57" s="137">
        <f>J40</f>
        <v>2.2830705199999999</v>
      </c>
    </row>
    <row r="58" spans="1:18" x14ac:dyDescent="0.35">
      <c r="A58" s="120" t="s">
        <v>48</v>
      </c>
      <c r="B58" s="13">
        <f>SUM(B56:B57)</f>
        <v>3.1322820799999995</v>
      </c>
    </row>
    <row r="60" spans="1:18" x14ac:dyDescent="0.35">
      <c r="A60" s="117" t="s">
        <v>390</v>
      </c>
      <c r="B60" s="118"/>
    </row>
    <row r="61" spans="1:18" ht="29" x14ac:dyDescent="0.35">
      <c r="A61" s="116" t="s">
        <v>409</v>
      </c>
      <c r="B61" s="119">
        <f>R46</f>
        <v>0.84921155999999987</v>
      </c>
    </row>
    <row r="62" spans="1:18" x14ac:dyDescent="0.35">
      <c r="A62" s="42" t="s">
        <v>410</v>
      </c>
      <c r="B62" s="91">
        <f>J51</f>
        <v>2</v>
      </c>
    </row>
    <row r="63" spans="1:18" x14ac:dyDescent="0.35">
      <c r="A63" s="120" t="s">
        <v>48</v>
      </c>
      <c r="B63" s="13">
        <f>SUM(B61:B62)</f>
        <v>2.8492115599999996</v>
      </c>
    </row>
    <row r="65" spans="1:10" x14ac:dyDescent="0.35">
      <c r="A65" s="68" t="s">
        <v>422</v>
      </c>
      <c r="B65" s="67"/>
      <c r="C65" s="67"/>
      <c r="D65" s="67"/>
      <c r="E65" s="67"/>
      <c r="F65" s="67"/>
      <c r="G65" s="67"/>
      <c r="H65" s="67"/>
      <c r="I65" s="67"/>
      <c r="J65" s="67"/>
    </row>
    <row r="67" spans="1:10" x14ac:dyDescent="0.35">
      <c r="A67" s="117" t="s">
        <v>389</v>
      </c>
      <c r="B67" s="118"/>
    </row>
    <row r="68" spans="1:10" x14ac:dyDescent="0.35">
      <c r="A68" s="42" t="s">
        <v>405</v>
      </c>
      <c r="B68" s="91">
        <f>D23</f>
        <v>5.9909104761904759</v>
      </c>
    </row>
    <row r="69" spans="1:10" ht="29" x14ac:dyDescent="0.35">
      <c r="A69" s="116" t="s">
        <v>409</v>
      </c>
      <c r="B69" s="119">
        <f>0-R46</f>
        <v>-0.84921155999999987</v>
      </c>
    </row>
    <row r="70" spans="1:10" x14ac:dyDescent="0.35">
      <c r="A70" s="120" t="s">
        <v>48</v>
      </c>
      <c r="B70" s="13">
        <f>SUM(B68:B69)</f>
        <v>5.1416989161904763</v>
      </c>
    </row>
    <row r="72" spans="1:10" x14ac:dyDescent="0.35">
      <c r="A72" s="133" t="s">
        <v>390</v>
      </c>
      <c r="B72" s="134"/>
    </row>
    <row r="73" spans="1:10" x14ac:dyDescent="0.35">
      <c r="A73" s="42" t="s">
        <v>405</v>
      </c>
      <c r="B73" s="91">
        <f>D23</f>
        <v>5.9909104761904759</v>
      </c>
    </row>
    <row r="74" spans="1:10" ht="29" x14ac:dyDescent="0.35">
      <c r="A74" s="42" t="s">
        <v>409</v>
      </c>
      <c r="B74" s="91">
        <f>0-R46</f>
        <v>-0.84921155999999987</v>
      </c>
    </row>
    <row r="75" spans="1:10" x14ac:dyDescent="0.35">
      <c r="A75" s="42" t="s">
        <v>411</v>
      </c>
      <c r="B75" s="91">
        <f>J50</f>
        <v>0.28307051999999999</v>
      </c>
    </row>
    <row r="76" spans="1:10" x14ac:dyDescent="0.35">
      <c r="A76" s="120" t="s">
        <v>48</v>
      </c>
      <c r="B76" s="13">
        <f>SUM(B73:B75)</f>
        <v>5.4247694361904761</v>
      </c>
    </row>
    <row r="80" spans="1:10" x14ac:dyDescent="0.35">
      <c r="A80" s="135" t="s">
        <v>96</v>
      </c>
      <c r="B80" s="38"/>
    </row>
    <row r="83" spans="1:2" x14ac:dyDescent="0.35">
      <c r="A83" s="2" t="s">
        <v>67</v>
      </c>
      <c r="B83" s="7"/>
    </row>
    <row r="84" spans="1:2" x14ac:dyDescent="0.35">
      <c r="A84" s="7" t="s">
        <v>116</v>
      </c>
      <c r="B84" s="7">
        <v>5</v>
      </c>
    </row>
    <row r="85" spans="1:2" x14ac:dyDescent="0.35">
      <c r="A85" s="7" t="s">
        <v>140</v>
      </c>
      <c r="B85" s="7">
        <f>(16/2)*5</f>
        <v>40</v>
      </c>
    </row>
    <row r="87" spans="1:2" x14ac:dyDescent="0.35">
      <c r="A87" s="39" t="s">
        <v>115</v>
      </c>
      <c r="B87" s="40"/>
    </row>
    <row r="89" spans="1:2" x14ac:dyDescent="0.35">
      <c r="A89" t="s">
        <v>159</v>
      </c>
    </row>
    <row r="90" spans="1:2" x14ac:dyDescent="0.35">
      <c r="A90" t="s">
        <v>158</v>
      </c>
    </row>
    <row r="92" spans="1:2" x14ac:dyDescent="0.35">
      <c r="A92" t="s">
        <v>160</v>
      </c>
    </row>
  </sheetData>
  <phoneticPr fontId="5" type="noConversion"/>
  <conditionalFormatting sqref="C39:R39">
    <cfRule type="cellIs" dxfId="24" priority="8" operator="greaterThanOrEqual">
      <formula>0.7</formula>
    </cfRule>
    <cfRule type="cellIs" dxfId="23" priority="9" operator="between">
      <formula>0.5</formula>
      <formula>0.7</formula>
    </cfRule>
  </conditionalFormatting>
  <conditionalFormatting sqref="C40:R40">
    <cfRule type="cellIs" dxfId="22" priority="6" operator="greaterThanOrEqual">
      <formula>2</formula>
    </cfRule>
    <cfRule type="cellIs" dxfId="21" priority="7" operator="between">
      <formula>1</formula>
      <formula>2</formula>
    </cfRule>
  </conditionalFormatting>
  <conditionalFormatting sqref="C50:R50">
    <cfRule type="cellIs" dxfId="20" priority="1" operator="greaterThanOrEqual">
      <formula>$R$46</formula>
    </cfRule>
    <cfRule type="cellIs" dxfId="19" priority="5" operator="greaterThanOrEqual">
      <formula>$J$48</formula>
    </cfRule>
  </conditionalFormatting>
  <conditionalFormatting sqref="C51:R51">
    <cfRule type="cellIs" dxfId="18" priority="3" operator="between">
      <formula>1</formula>
      <formula>2</formula>
    </cfRule>
    <cfRule type="cellIs" dxfId="17" priority="4" operator="greaterThanOrEqual">
      <formula>2</formula>
    </cfRule>
  </conditionalFormatting>
  <conditionalFormatting sqref="C46:R46">
    <cfRule type="cellIs" dxfId="16" priority="2" operator="greaterThanOrEqual">
      <formula>0.5</formula>
    </cfRule>
  </conditionalFormatting>
  <dataValidations count="1">
    <dataValidation type="list" allowBlank="1" showInputMessage="1" showErrorMessage="1" sqref="F6 A6:A13">
      <formula1>Ingrédients_recettes</formula1>
    </dataValidation>
  </dataValidations>
  <pageMargins left="0.7" right="0.7" top="0.75" bottom="0.75" header="0.3" footer="0.3"/>
  <pageSetup paperSize="9" scale="48" orientation="portrait" horizontalDpi="4294967292" verticalDpi="4294967292"/>
  <extLst>
    <ext xmlns:mx="http://schemas.microsoft.com/office/mac/excel/2008/main" uri="{64002731-A6B0-56B0-2670-7721B7C09600}">
      <mx:PLV Mode="0" OnePage="0" WScale="10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2"/>
  <sheetViews>
    <sheetView topLeftCell="A24" workbookViewId="0">
      <selection activeCell="D30" sqref="D30:J30"/>
    </sheetView>
  </sheetViews>
  <sheetFormatPr baseColWidth="10" defaultRowHeight="14.5" x14ac:dyDescent="0.35"/>
  <cols>
    <col min="1" max="1" width="34.6328125" customWidth="1"/>
    <col min="2" max="2" width="14.6328125" bestFit="1" customWidth="1"/>
    <col min="3" max="3" width="13.1796875" bestFit="1" customWidth="1"/>
    <col min="4" max="4" width="14.36328125" bestFit="1" customWidth="1"/>
    <col min="5" max="5" width="10.1796875" bestFit="1" customWidth="1"/>
    <col min="6" max="6" width="10" customWidth="1"/>
    <col min="7" max="7" width="9.81640625" customWidth="1"/>
    <col min="11" max="11" width="13.36328125" bestFit="1" customWidth="1"/>
  </cols>
  <sheetData>
    <row r="1" spans="1:11" x14ac:dyDescent="0.35">
      <c r="A1" s="103" t="s">
        <v>208</v>
      </c>
      <c r="B1" s="104"/>
      <c r="C1" s="104"/>
      <c r="D1" s="104"/>
      <c r="E1" s="104"/>
      <c r="F1" s="104"/>
      <c r="G1" s="104"/>
      <c r="H1" s="104"/>
      <c r="J1" s="7" t="s">
        <v>285</v>
      </c>
      <c r="K1" s="7"/>
    </row>
    <row r="2" spans="1:11" x14ac:dyDescent="0.35">
      <c r="J2" s="11" t="s">
        <v>281</v>
      </c>
      <c r="K2" s="7" t="s">
        <v>282</v>
      </c>
    </row>
    <row r="3" spans="1:11" x14ac:dyDescent="0.35">
      <c r="A3" s="68" t="s">
        <v>276</v>
      </c>
      <c r="B3" s="67"/>
      <c r="C3" s="67"/>
      <c r="D3" s="67"/>
      <c r="E3" s="67"/>
      <c r="F3" s="67"/>
      <c r="G3" s="67"/>
      <c r="H3" s="67"/>
    </row>
    <row r="5" spans="1:11" x14ac:dyDescent="0.35">
      <c r="A5" s="2" t="s">
        <v>68</v>
      </c>
      <c r="B5" s="2" t="s">
        <v>41</v>
      </c>
      <c r="C5" s="2" t="s">
        <v>42</v>
      </c>
      <c r="D5" s="2" t="s">
        <v>40</v>
      </c>
    </row>
    <row r="6" spans="1:11" x14ac:dyDescent="0.35">
      <c r="A6" s="7" t="s">
        <v>155</v>
      </c>
      <c r="B6" s="6">
        <v>4</v>
      </c>
      <c r="C6" s="31">
        <f t="shared" ref="C6:C14" si="0">IF(ISERROR(VLOOKUP(A6,Tableau_produits,6,FALSE)),0,VLOOKUP(A6,Tableau_produits,6,FALSE))</f>
        <v>0.45</v>
      </c>
      <c r="D6" s="32">
        <f>C6*B6</f>
        <v>1.8</v>
      </c>
    </row>
    <row r="7" spans="1:11" x14ac:dyDescent="0.35">
      <c r="A7" s="7" t="s">
        <v>152</v>
      </c>
      <c r="B7" s="6">
        <v>0.2</v>
      </c>
      <c r="C7" s="31">
        <f t="shared" si="0"/>
        <v>2.2200000000000002</v>
      </c>
      <c r="D7" s="32">
        <f>C7*B7</f>
        <v>0.44400000000000006</v>
      </c>
    </row>
    <row r="8" spans="1:11" x14ac:dyDescent="0.35">
      <c r="A8" s="7" t="s">
        <v>206</v>
      </c>
      <c r="B8" s="6">
        <v>0.25</v>
      </c>
      <c r="C8" s="31">
        <f t="shared" si="0"/>
        <v>1.39</v>
      </c>
      <c r="D8" s="32">
        <f t="shared" ref="D8:D14" si="1">C8*B8</f>
        <v>0.34749999999999998</v>
      </c>
    </row>
    <row r="9" spans="1:11" x14ac:dyDescent="0.35">
      <c r="A9" s="7" t="s">
        <v>109</v>
      </c>
      <c r="B9" s="6">
        <f>0.25/3</f>
        <v>8.3333333333333329E-2</v>
      </c>
      <c r="C9" s="31">
        <f t="shared" si="0"/>
        <v>9.56</v>
      </c>
      <c r="D9" s="32">
        <f t="shared" si="1"/>
        <v>0.79666666666666663</v>
      </c>
    </row>
    <row r="10" spans="1:11" x14ac:dyDescent="0.35">
      <c r="A10" s="7" t="s">
        <v>207</v>
      </c>
      <c r="B10" s="22">
        <f>0.25/3</f>
        <v>8.3333333333333329E-2</v>
      </c>
      <c r="C10" s="31">
        <f t="shared" si="0"/>
        <v>3.4</v>
      </c>
      <c r="D10" s="32">
        <f t="shared" si="1"/>
        <v>0.28333333333333333</v>
      </c>
    </row>
    <row r="11" spans="1:11" x14ac:dyDescent="0.35">
      <c r="A11" s="7" t="s">
        <v>153</v>
      </c>
      <c r="B11" s="22">
        <v>0.1</v>
      </c>
      <c r="C11" s="31">
        <f t="shared" si="0"/>
        <v>3.9866666666666668</v>
      </c>
      <c r="D11" s="32">
        <f t="shared" si="1"/>
        <v>0.39866666666666672</v>
      </c>
    </row>
    <row r="12" spans="1:11" x14ac:dyDescent="0.35">
      <c r="A12" s="7" t="s">
        <v>166</v>
      </c>
      <c r="B12" s="21">
        <f>0.01*4</f>
        <v>0.04</v>
      </c>
      <c r="C12" s="31">
        <f t="shared" si="0"/>
        <v>10.384615384615385</v>
      </c>
      <c r="D12" s="33">
        <f t="shared" si="1"/>
        <v>0.41538461538461541</v>
      </c>
    </row>
    <row r="13" spans="1:11" x14ac:dyDescent="0.35">
      <c r="A13" s="7" t="s">
        <v>111</v>
      </c>
      <c r="B13" s="21">
        <v>5.0000000000000001E-4</v>
      </c>
      <c r="C13" s="31">
        <f t="shared" si="0"/>
        <v>4.9800000000000004</v>
      </c>
      <c r="D13" s="33">
        <f t="shared" si="1"/>
        <v>2.4900000000000005E-3</v>
      </c>
    </row>
    <row r="14" spans="1:11" x14ac:dyDescent="0.35">
      <c r="A14" s="7" t="s">
        <v>220</v>
      </c>
      <c r="B14" s="22">
        <v>0.7</v>
      </c>
      <c r="C14" s="31">
        <f t="shared" si="0"/>
        <v>2.2714285714285718</v>
      </c>
      <c r="D14" s="33">
        <f t="shared" si="1"/>
        <v>1.59</v>
      </c>
    </row>
    <row r="15" spans="1:11" x14ac:dyDescent="0.35">
      <c r="A15" s="13" t="s">
        <v>48</v>
      </c>
      <c r="B15" s="13"/>
      <c r="C15" s="13"/>
      <c r="D15" s="34">
        <f>SUM(D6:D14)</f>
        <v>6.0780412820512826</v>
      </c>
    </row>
    <row r="16" spans="1:11" x14ac:dyDescent="0.35">
      <c r="A16" s="34" t="str">
        <f>"Coût par portion ("&amp;ROUND(C19*1000,0)&amp;"g)"</f>
        <v>Coût par portion (0g)</v>
      </c>
      <c r="B16" s="13"/>
      <c r="C16" s="13"/>
      <c r="D16" s="34">
        <f>IF(E19=0,0,D15/E19)</f>
        <v>1.0130068803418804</v>
      </c>
    </row>
    <row r="18" spans="1:10" ht="43.5" x14ac:dyDescent="0.35">
      <c r="A18" s="2" t="s">
        <v>90</v>
      </c>
      <c r="B18" s="28" t="s">
        <v>91</v>
      </c>
      <c r="C18" s="28" t="s">
        <v>94</v>
      </c>
      <c r="D18" s="28" t="s">
        <v>92</v>
      </c>
      <c r="E18" s="28" t="s">
        <v>95</v>
      </c>
    </row>
    <row r="19" spans="1:10" x14ac:dyDescent="0.35">
      <c r="A19" s="7" t="s">
        <v>93</v>
      </c>
      <c r="B19" s="7"/>
      <c r="C19" s="7">
        <v>0</v>
      </c>
      <c r="D19" s="30">
        <v>6</v>
      </c>
      <c r="E19" s="35">
        <f>TRUNC(D19)</f>
        <v>6</v>
      </c>
    </row>
    <row r="20" spans="1:10" s="38" customFormat="1" x14ac:dyDescent="0.35">
      <c r="A20" s="60"/>
      <c r="B20" s="60"/>
      <c r="C20" s="60"/>
      <c r="D20" s="64"/>
      <c r="E20" s="60"/>
    </row>
    <row r="21" spans="1:10" s="38" customFormat="1" x14ac:dyDescent="0.35">
      <c r="A21" s="71" t="s">
        <v>277</v>
      </c>
      <c r="B21" s="69"/>
      <c r="C21" s="69"/>
      <c r="D21" s="70"/>
      <c r="E21" s="69"/>
      <c r="F21" s="67"/>
      <c r="G21" s="67"/>
      <c r="H21" s="67"/>
    </row>
    <row r="22" spans="1:10" s="38" customFormat="1" x14ac:dyDescent="0.35">
      <c r="A22" s="60"/>
      <c r="B22" s="60"/>
      <c r="C22" s="60"/>
      <c r="D22" s="64"/>
      <c r="E22" s="60"/>
    </row>
    <row r="23" spans="1:10" s="38" customFormat="1" x14ac:dyDescent="0.35">
      <c r="A23" s="16" t="s">
        <v>273</v>
      </c>
      <c r="B23" s="2" t="s">
        <v>267</v>
      </c>
      <c r="C23" s="2" t="s">
        <v>268</v>
      </c>
      <c r="D23" s="2" t="s">
        <v>269</v>
      </c>
      <c r="E23" s="60"/>
    </row>
    <row r="24" spans="1:10" s="38" customFormat="1" x14ac:dyDescent="0.35">
      <c r="A24" s="7" t="s">
        <v>278</v>
      </c>
      <c r="B24" s="78">
        <v>8</v>
      </c>
      <c r="C24" s="24">
        <f>D16</f>
        <v>1.0130068803418804</v>
      </c>
      <c r="D24" s="35">
        <f>C24*B24</f>
        <v>8.1040550427350428</v>
      </c>
      <c r="E24" s="60"/>
    </row>
    <row r="25" spans="1:10" s="38" customFormat="1" x14ac:dyDescent="0.35">
      <c r="A25" s="7" t="s">
        <v>279</v>
      </c>
      <c r="B25" s="78">
        <v>4</v>
      </c>
      <c r="C25" s="24">
        <f>C24</f>
        <v>1.0130068803418804</v>
      </c>
      <c r="D25" s="35">
        <f>C25*B25</f>
        <v>4.0520275213675214</v>
      </c>
      <c r="E25" s="60"/>
    </row>
    <row r="26" spans="1:10" s="38" customFormat="1" x14ac:dyDescent="0.35">
      <c r="A26" s="7" t="s">
        <v>280</v>
      </c>
      <c r="B26" s="72">
        <f>B24-B25</f>
        <v>4</v>
      </c>
      <c r="C26" s="82">
        <f>(D26/B26)*70%</f>
        <v>1.4182096324786324</v>
      </c>
      <c r="D26" s="35">
        <f>D24</f>
        <v>8.1040550427350428</v>
      </c>
      <c r="E26" s="60"/>
      <c r="F26" s="83"/>
    </row>
    <row r="28" spans="1:10" x14ac:dyDescent="0.35">
      <c r="A28" s="16" t="s">
        <v>275</v>
      </c>
      <c r="B28" s="50" t="s">
        <v>235</v>
      </c>
      <c r="C28" s="46">
        <v>1</v>
      </c>
      <c r="D28" s="45">
        <v>2</v>
      </c>
      <c r="E28" s="45">
        <v>3</v>
      </c>
      <c r="F28" s="45">
        <v>4</v>
      </c>
      <c r="G28" s="46">
        <v>5</v>
      </c>
      <c r="H28" s="46">
        <v>6</v>
      </c>
      <c r="I28" s="46">
        <v>7</v>
      </c>
      <c r="J28" s="46">
        <v>8</v>
      </c>
    </row>
    <row r="29" spans="1:10" x14ac:dyDescent="0.35">
      <c r="A29" s="17" t="s">
        <v>51</v>
      </c>
      <c r="B29" s="53"/>
      <c r="C29" s="24">
        <f>$C$26*C28</f>
        <v>1.4182096324786324</v>
      </c>
      <c r="D29" s="24">
        <f t="shared" ref="D29:J29" si="2">$C$26*D28</f>
        <v>2.8364192649572648</v>
      </c>
      <c r="E29" s="24">
        <f t="shared" si="2"/>
        <v>4.2546288974358974</v>
      </c>
      <c r="F29" s="24">
        <f t="shared" si="2"/>
        <v>5.6728385299145296</v>
      </c>
      <c r="G29" s="24">
        <f t="shared" si="2"/>
        <v>7.0910481623931618</v>
      </c>
      <c r="H29" s="24">
        <f t="shared" si="2"/>
        <v>8.5092577948717949</v>
      </c>
      <c r="I29" s="24">
        <f t="shared" si="2"/>
        <v>9.9274674273504271</v>
      </c>
      <c r="J29" s="24">
        <f t="shared" si="2"/>
        <v>11.345677059829059</v>
      </c>
    </row>
    <row r="30" spans="1:10" x14ac:dyDescent="0.35">
      <c r="A30" s="16" t="s">
        <v>472</v>
      </c>
      <c r="B30" s="65">
        <f>2/4</f>
        <v>0.5</v>
      </c>
      <c r="C30" s="34">
        <f>(($C$29+$B$30)+$C$51)*C28</f>
        <v>2.0139387826709401</v>
      </c>
      <c r="D30" s="34">
        <f t="shared" ref="D30:J30" si="3">(($C$29+$B$30)+$C$51)*D28</f>
        <v>4.0278775653418801</v>
      </c>
      <c r="E30" s="34">
        <f t="shared" si="3"/>
        <v>6.0418163480128202</v>
      </c>
      <c r="F30" s="34">
        <f t="shared" si="3"/>
        <v>8.0557551306837603</v>
      </c>
      <c r="G30" s="34">
        <f t="shared" si="3"/>
        <v>10.069693913354701</v>
      </c>
      <c r="H30" s="34">
        <f t="shared" si="3"/>
        <v>12.08363269602564</v>
      </c>
      <c r="I30" s="34">
        <f t="shared" si="3"/>
        <v>14.09757147869658</v>
      </c>
      <c r="J30" s="34">
        <f t="shared" si="3"/>
        <v>16.111510261367521</v>
      </c>
    </row>
    <row r="31" spans="1:10" x14ac:dyDescent="0.35">
      <c r="A31" s="55" t="s">
        <v>380</v>
      </c>
      <c r="B31" s="56"/>
      <c r="C31" s="34">
        <f>C30+(C30*5.5%)</f>
        <v>2.124705415717842</v>
      </c>
      <c r="D31" s="34">
        <f t="shared" ref="D31:J31" si="4">D30+(D30*5.5%)</f>
        <v>4.249410831435684</v>
      </c>
      <c r="E31" s="34">
        <f t="shared" si="4"/>
        <v>6.3741162471535251</v>
      </c>
      <c r="F31" s="34">
        <f t="shared" si="4"/>
        <v>8.498821662871368</v>
      </c>
      <c r="G31" s="34">
        <f t="shared" si="4"/>
        <v>10.623527078589209</v>
      </c>
      <c r="H31" s="34">
        <f t="shared" si="4"/>
        <v>12.74823249430705</v>
      </c>
      <c r="I31" s="34">
        <f t="shared" si="4"/>
        <v>14.872937910024891</v>
      </c>
      <c r="J31" s="34">
        <f t="shared" si="4"/>
        <v>16.997643325742736</v>
      </c>
    </row>
    <row r="32" spans="1:10" s="38" customFormat="1" x14ac:dyDescent="0.35">
      <c r="A32" s="49" t="s">
        <v>233</v>
      </c>
      <c r="B32" s="49"/>
      <c r="C32" s="15"/>
      <c r="D32" s="15"/>
      <c r="E32" s="15"/>
      <c r="F32" s="15"/>
      <c r="G32" s="15"/>
      <c r="H32" s="15"/>
      <c r="I32" s="15"/>
      <c r="J32" s="15"/>
    </row>
    <row r="33" spans="1:10" x14ac:dyDescent="0.35">
      <c r="A33" s="15"/>
      <c r="B33" s="15"/>
      <c r="C33" s="14"/>
      <c r="D33" s="14"/>
      <c r="E33" s="14"/>
      <c r="F33" s="14"/>
    </row>
    <row r="34" spans="1:10" x14ac:dyDescent="0.35">
      <c r="A34" s="16" t="s">
        <v>49</v>
      </c>
      <c r="B34" s="51"/>
      <c r="C34" s="47">
        <v>1</v>
      </c>
      <c r="D34" s="47">
        <v>2</v>
      </c>
      <c r="E34" s="47">
        <v>3</v>
      </c>
      <c r="F34" s="47">
        <v>4</v>
      </c>
      <c r="G34" s="48">
        <v>5</v>
      </c>
      <c r="H34" s="48">
        <v>6</v>
      </c>
      <c r="I34" s="48">
        <v>7</v>
      </c>
      <c r="J34" s="48">
        <v>8</v>
      </c>
    </row>
    <row r="35" spans="1:10" x14ac:dyDescent="0.35">
      <c r="A35" s="17" t="s">
        <v>52</v>
      </c>
      <c r="B35" s="52"/>
      <c r="C35" s="24">
        <f>C29-($C$24*C34)</f>
        <v>0.40520275213675205</v>
      </c>
      <c r="D35" s="24">
        <f t="shared" ref="D35:H35" si="5">D29-($C$24*D34)</f>
        <v>0.81040550427350411</v>
      </c>
      <c r="E35" s="24">
        <f t="shared" si="5"/>
        <v>1.2156082564102562</v>
      </c>
      <c r="F35" s="24">
        <f t="shared" si="5"/>
        <v>1.6208110085470082</v>
      </c>
      <c r="G35" s="24">
        <f t="shared" si="5"/>
        <v>2.0260137606837603</v>
      </c>
      <c r="H35" s="24">
        <f t="shared" si="5"/>
        <v>2.4312165128205123</v>
      </c>
      <c r="I35" s="24">
        <f t="shared" ref="I35:J35" si="6">I29-($C$24*I34)</f>
        <v>2.8364192649572644</v>
      </c>
      <c r="J35" s="24">
        <f t="shared" si="6"/>
        <v>3.2416220170940164</v>
      </c>
    </row>
    <row r="36" spans="1:10" x14ac:dyDescent="0.35">
      <c r="A36" s="17" t="s">
        <v>53</v>
      </c>
      <c r="B36" s="52"/>
      <c r="C36" s="24">
        <f>C30-C29</f>
        <v>0.59572915019230765</v>
      </c>
      <c r="D36" s="24">
        <f t="shared" ref="D36:H36" si="7">D30-D29</f>
        <v>1.1914583003846153</v>
      </c>
      <c r="E36" s="24">
        <f t="shared" si="7"/>
        <v>1.7871874505769227</v>
      </c>
      <c r="F36" s="24">
        <f t="shared" si="7"/>
        <v>2.3829166007692306</v>
      </c>
      <c r="G36" s="24">
        <f t="shared" si="7"/>
        <v>2.9786457509615394</v>
      </c>
      <c r="H36" s="24">
        <f t="shared" si="7"/>
        <v>3.5743749011538455</v>
      </c>
      <c r="I36" s="24">
        <f t="shared" ref="I36:J36" si="8">I30-I29</f>
        <v>4.1701040513461525</v>
      </c>
      <c r="J36" s="24">
        <f t="shared" si="8"/>
        <v>4.7658332015384612</v>
      </c>
    </row>
    <row r="37" spans="1:10" x14ac:dyDescent="0.35">
      <c r="A37" s="49" t="s">
        <v>234</v>
      </c>
    </row>
    <row r="38" spans="1:10" x14ac:dyDescent="0.35">
      <c r="A38" s="15"/>
    </row>
    <row r="39" spans="1:10" x14ac:dyDescent="0.35">
      <c r="A39" s="2" t="s">
        <v>236</v>
      </c>
      <c r="B39" s="56"/>
      <c r="C39" s="47">
        <v>1</v>
      </c>
      <c r="D39" s="47">
        <v>2</v>
      </c>
      <c r="E39" s="47">
        <v>3</v>
      </c>
      <c r="F39" s="47">
        <v>4</v>
      </c>
      <c r="G39" s="48">
        <v>5</v>
      </c>
      <c r="H39" s="48">
        <v>6</v>
      </c>
      <c r="I39" s="48">
        <v>7</v>
      </c>
      <c r="J39" s="48">
        <v>8</v>
      </c>
    </row>
    <row r="40" spans="1:10" x14ac:dyDescent="0.35">
      <c r="A40" s="7" t="s">
        <v>238</v>
      </c>
      <c r="B40" s="56"/>
      <c r="C40" s="59">
        <f>IF($D$24=0,0,(C29)/$D$24)</f>
        <v>0.17499999999999999</v>
      </c>
      <c r="D40" s="59">
        <f t="shared" ref="D40:H40" si="9">IF($D$24=0,0,(D29)/$D$24)</f>
        <v>0.35</v>
      </c>
      <c r="E40" s="59">
        <f t="shared" si="9"/>
        <v>0.52500000000000002</v>
      </c>
      <c r="F40" s="59">
        <f t="shared" si="9"/>
        <v>0.7</v>
      </c>
      <c r="G40" s="59">
        <f t="shared" si="9"/>
        <v>0.87499999999999989</v>
      </c>
      <c r="H40" s="59">
        <f t="shared" si="9"/>
        <v>1.05</v>
      </c>
      <c r="I40" s="59">
        <f t="shared" ref="I40:J40" si="10">IF($D$24=0,0,(I29)/$D$24)</f>
        <v>1.2249999999999999</v>
      </c>
      <c r="J40" s="59">
        <f t="shared" si="10"/>
        <v>1.4</v>
      </c>
    </row>
    <row r="41" spans="1:10" x14ac:dyDescent="0.35">
      <c r="A41" s="7" t="s">
        <v>237</v>
      </c>
      <c r="B41" s="56"/>
      <c r="C41" s="24">
        <f>C36</f>
        <v>0.59572915019230765</v>
      </c>
      <c r="D41" s="24">
        <f t="shared" ref="D41:H41" si="11">D36</f>
        <v>1.1914583003846153</v>
      </c>
      <c r="E41" s="24">
        <f t="shared" si="11"/>
        <v>1.7871874505769227</v>
      </c>
      <c r="F41" s="24">
        <f t="shared" si="11"/>
        <v>2.3829166007692306</v>
      </c>
      <c r="G41" s="24">
        <f t="shared" si="11"/>
        <v>2.9786457509615394</v>
      </c>
      <c r="H41" s="24">
        <f t="shared" si="11"/>
        <v>3.5743749011538455</v>
      </c>
      <c r="I41" s="24">
        <f t="shared" ref="I41:J41" si="12">I36</f>
        <v>4.1701040513461525</v>
      </c>
      <c r="J41" s="24">
        <f t="shared" si="12"/>
        <v>4.7658332015384612</v>
      </c>
    </row>
    <row r="42" spans="1:10" x14ac:dyDescent="0.35">
      <c r="A42" s="15"/>
    </row>
    <row r="43" spans="1:10" s="60" customFormat="1" x14ac:dyDescent="0.35">
      <c r="A43" s="71" t="s">
        <v>384</v>
      </c>
      <c r="B43" s="76"/>
      <c r="C43" s="111"/>
      <c r="D43" s="111"/>
      <c r="E43" s="111"/>
      <c r="F43" s="111"/>
      <c r="G43" s="111"/>
      <c r="H43" s="111"/>
      <c r="I43" s="111"/>
      <c r="J43" s="111"/>
    </row>
    <row r="44" spans="1:10" s="60" customFormat="1" x14ac:dyDescent="0.35">
      <c r="B44" s="57"/>
      <c r="C44" s="15"/>
      <c r="D44" s="15"/>
      <c r="E44" s="15"/>
      <c r="F44" s="15"/>
      <c r="G44" s="15"/>
      <c r="H44" s="15"/>
      <c r="I44" s="15"/>
      <c r="J44" s="15"/>
    </row>
    <row r="45" spans="1:10" s="60" customFormat="1" ht="43.5" x14ac:dyDescent="0.35">
      <c r="A45" s="109" t="s">
        <v>385</v>
      </c>
      <c r="B45" s="112">
        <v>0.15</v>
      </c>
      <c r="C45" s="48">
        <v>1</v>
      </c>
      <c r="D45" s="48">
        <v>2</v>
      </c>
      <c r="E45" s="48">
        <v>3</v>
      </c>
      <c r="F45" s="48">
        <v>4</v>
      </c>
      <c r="G45" s="48">
        <v>5</v>
      </c>
      <c r="H45" s="48">
        <v>6</v>
      </c>
      <c r="I45" s="48">
        <v>7</v>
      </c>
      <c r="J45" s="48">
        <v>8</v>
      </c>
    </row>
    <row r="46" spans="1:10" s="60" customFormat="1" x14ac:dyDescent="0.35">
      <c r="A46" s="11" t="s">
        <v>382</v>
      </c>
      <c r="B46" s="110"/>
      <c r="C46" s="24">
        <f>($C$24-$C$24*5.5%)*C45</f>
        <v>0.95729150192307699</v>
      </c>
      <c r="D46" s="24">
        <f t="shared" ref="D46:J46" si="13">($C$24-$C$24*5.5%)*D45</f>
        <v>1.914583003846154</v>
      </c>
      <c r="E46" s="24">
        <f t="shared" si="13"/>
        <v>2.871874505769231</v>
      </c>
      <c r="F46" s="24">
        <f t="shared" si="13"/>
        <v>3.829166007692308</v>
      </c>
      <c r="G46" s="24">
        <f t="shared" si="13"/>
        <v>4.786457509615385</v>
      </c>
      <c r="H46" s="24">
        <f t="shared" si="13"/>
        <v>5.743749011538462</v>
      </c>
      <c r="I46" s="24">
        <f t="shared" si="13"/>
        <v>6.7010405134615389</v>
      </c>
      <c r="J46" s="24">
        <f t="shared" si="13"/>
        <v>7.6583320153846159</v>
      </c>
    </row>
    <row r="47" spans="1:10" s="60" customFormat="1" x14ac:dyDescent="0.35">
      <c r="A47" s="11" t="s">
        <v>281</v>
      </c>
      <c r="B47" s="16"/>
      <c r="C47" s="115">
        <f>C46*$B$45</f>
        <v>0.14359372528846154</v>
      </c>
      <c r="D47" s="115">
        <f t="shared" ref="D47:J47" si="14">D46*$B$45</f>
        <v>0.28718745057692308</v>
      </c>
      <c r="E47" s="115">
        <f t="shared" si="14"/>
        <v>0.43078117586538461</v>
      </c>
      <c r="F47" s="115">
        <f t="shared" si="14"/>
        <v>0.57437490115384615</v>
      </c>
      <c r="G47" s="115">
        <f t="shared" si="14"/>
        <v>0.71796862644230774</v>
      </c>
      <c r="H47" s="115">
        <f t="shared" si="14"/>
        <v>0.86156235173076923</v>
      </c>
      <c r="I47" s="115">
        <f t="shared" si="14"/>
        <v>1.0051560770192307</v>
      </c>
      <c r="J47" s="115">
        <f t="shared" si="14"/>
        <v>1.1487498023076923</v>
      </c>
    </row>
    <row r="48" spans="1:10" s="60" customFormat="1" x14ac:dyDescent="0.35">
      <c r="B48" s="57"/>
      <c r="C48" s="114"/>
      <c r="D48" s="114"/>
      <c r="E48" s="114"/>
      <c r="F48" s="114"/>
      <c r="G48" s="114"/>
      <c r="H48" s="114"/>
      <c r="I48" s="114"/>
      <c r="J48" s="114"/>
    </row>
    <row r="49" spans="1:10" s="60" customFormat="1" ht="43.5" x14ac:dyDescent="0.35">
      <c r="A49" s="109" t="s">
        <v>394</v>
      </c>
      <c r="B49" s="112">
        <v>0.1</v>
      </c>
      <c r="C49" s="48">
        <v>1</v>
      </c>
      <c r="D49" s="48">
        <v>2</v>
      </c>
      <c r="E49" s="48">
        <v>3</v>
      </c>
      <c r="F49" s="48">
        <v>4</v>
      </c>
      <c r="G49" s="48">
        <v>5</v>
      </c>
      <c r="H49" s="48">
        <v>6</v>
      </c>
      <c r="I49" s="48">
        <v>7</v>
      </c>
      <c r="J49" s="48">
        <v>8</v>
      </c>
    </row>
    <row r="50" spans="1:10" s="60" customFormat="1" x14ac:dyDescent="0.35">
      <c r="A50" s="11" t="s">
        <v>382</v>
      </c>
      <c r="B50" s="16"/>
      <c r="C50" s="24">
        <f>($C$24-$C$24*5.5%)*C49</f>
        <v>0.95729150192307699</v>
      </c>
      <c r="D50" s="24">
        <f t="shared" ref="D50:J50" si="15">($C$24-$C$24*5.5%)*D49</f>
        <v>1.914583003846154</v>
      </c>
      <c r="E50" s="24">
        <f t="shared" si="15"/>
        <v>2.871874505769231</v>
      </c>
      <c r="F50" s="24">
        <f t="shared" si="15"/>
        <v>3.829166007692308</v>
      </c>
      <c r="G50" s="24">
        <f t="shared" si="15"/>
        <v>4.786457509615385</v>
      </c>
      <c r="H50" s="24">
        <f t="shared" si="15"/>
        <v>5.743749011538462</v>
      </c>
      <c r="I50" s="24">
        <f t="shared" si="15"/>
        <v>6.7010405134615389</v>
      </c>
      <c r="J50" s="24">
        <f t="shared" si="15"/>
        <v>7.6583320153846159</v>
      </c>
    </row>
    <row r="51" spans="1:10" s="60" customFormat="1" x14ac:dyDescent="0.35">
      <c r="A51" s="11" t="s">
        <v>386</v>
      </c>
      <c r="B51" s="16"/>
      <c r="C51" s="113">
        <f>C50*$B$49</f>
        <v>9.572915019230771E-2</v>
      </c>
      <c r="D51" s="113">
        <f t="shared" ref="D51:J51" si="16">D50*$B$49</f>
        <v>0.19145830038461542</v>
      </c>
      <c r="E51" s="113">
        <f t="shared" si="16"/>
        <v>0.28718745057692313</v>
      </c>
      <c r="F51" s="113">
        <f t="shared" si="16"/>
        <v>0.38291660076923084</v>
      </c>
      <c r="G51" s="113">
        <f t="shared" si="16"/>
        <v>0.4786457509615385</v>
      </c>
      <c r="H51" s="113">
        <f t="shared" si="16"/>
        <v>0.57437490115384626</v>
      </c>
      <c r="I51" s="113">
        <f t="shared" si="16"/>
        <v>0.67010405134615392</v>
      </c>
      <c r="J51" s="113">
        <f t="shared" si="16"/>
        <v>0.76583320153846168</v>
      </c>
    </row>
    <row r="52" spans="1:10" s="60" customFormat="1" x14ac:dyDescent="0.35">
      <c r="A52" s="11" t="s">
        <v>387</v>
      </c>
      <c r="B52" s="16"/>
      <c r="C52" s="113">
        <f>C41-C51</f>
        <v>0.49999999999999994</v>
      </c>
      <c r="D52" s="113">
        <f t="shared" ref="D52:J52" si="17">D41-D51</f>
        <v>0.99999999999999989</v>
      </c>
      <c r="E52" s="113">
        <f t="shared" si="17"/>
        <v>1.4999999999999996</v>
      </c>
      <c r="F52" s="113">
        <f t="shared" si="17"/>
        <v>1.9999999999999998</v>
      </c>
      <c r="G52" s="113">
        <f t="shared" si="17"/>
        <v>2.5000000000000009</v>
      </c>
      <c r="H52" s="113">
        <f t="shared" si="17"/>
        <v>2.9999999999999991</v>
      </c>
      <c r="I52" s="113">
        <f t="shared" si="17"/>
        <v>3.4999999999999987</v>
      </c>
      <c r="J52" s="113">
        <f t="shared" si="17"/>
        <v>3.9999999999999996</v>
      </c>
    </row>
    <row r="54" spans="1:10" x14ac:dyDescent="0.35">
      <c r="A54" s="68" t="s">
        <v>416</v>
      </c>
      <c r="B54" s="67"/>
      <c r="C54" s="67"/>
      <c r="D54" s="67"/>
      <c r="E54" s="67"/>
      <c r="F54" s="67"/>
      <c r="G54" s="67"/>
      <c r="H54" s="67"/>
      <c r="I54" s="67"/>
      <c r="J54" s="67"/>
    </row>
    <row r="56" spans="1:10" x14ac:dyDescent="0.35">
      <c r="A56" s="117" t="s">
        <v>389</v>
      </c>
      <c r="B56" s="118"/>
    </row>
    <row r="57" spans="1:10" x14ac:dyDescent="0.35">
      <c r="A57" s="116" t="s">
        <v>393</v>
      </c>
      <c r="B57" s="119">
        <f>J47</f>
        <v>1.1487498023076923</v>
      </c>
    </row>
    <row r="58" spans="1:10" x14ac:dyDescent="0.35">
      <c r="A58" s="42" t="s">
        <v>392</v>
      </c>
      <c r="B58" s="91">
        <f>F41</f>
        <v>2.3829166007692306</v>
      </c>
    </row>
    <row r="59" spans="1:10" x14ac:dyDescent="0.35">
      <c r="A59" s="120" t="s">
        <v>48</v>
      </c>
      <c r="B59" s="13">
        <f>SUM(B57:B58)</f>
        <v>3.5316664030769229</v>
      </c>
    </row>
    <row r="61" spans="1:10" x14ac:dyDescent="0.35">
      <c r="A61" s="117" t="s">
        <v>390</v>
      </c>
      <c r="B61" s="118"/>
    </row>
    <row r="62" spans="1:10" x14ac:dyDescent="0.35">
      <c r="A62" s="116" t="s">
        <v>393</v>
      </c>
      <c r="B62" s="119">
        <f>J47</f>
        <v>1.1487498023076923</v>
      </c>
    </row>
    <row r="63" spans="1:10" x14ac:dyDescent="0.35">
      <c r="A63" s="42" t="s">
        <v>392</v>
      </c>
      <c r="B63" s="91">
        <f>F52</f>
        <v>1.9999999999999998</v>
      </c>
    </row>
    <row r="64" spans="1:10" x14ac:dyDescent="0.35">
      <c r="A64" s="120" t="s">
        <v>48</v>
      </c>
      <c r="B64" s="13">
        <f>SUM(B62:B63)</f>
        <v>3.1487498023076919</v>
      </c>
    </row>
    <row r="65" spans="1:10" x14ac:dyDescent="0.35">
      <c r="A65" s="15"/>
    </row>
    <row r="66" spans="1:10" x14ac:dyDescent="0.35">
      <c r="A66" s="68" t="s">
        <v>422</v>
      </c>
      <c r="B66" s="67"/>
      <c r="C66" s="67"/>
      <c r="D66" s="67"/>
      <c r="E66" s="67"/>
      <c r="F66" s="67"/>
      <c r="G66" s="67"/>
      <c r="H66" s="67"/>
      <c r="I66" s="67"/>
      <c r="J66" s="67"/>
    </row>
    <row r="68" spans="1:10" x14ac:dyDescent="0.35">
      <c r="A68" s="117" t="s">
        <v>389</v>
      </c>
      <c r="B68" s="118"/>
    </row>
    <row r="69" spans="1:10" x14ac:dyDescent="0.35">
      <c r="A69" s="42" t="s">
        <v>405</v>
      </c>
      <c r="B69" s="91">
        <f>D24</f>
        <v>8.1040550427350428</v>
      </c>
    </row>
    <row r="70" spans="1:10" x14ac:dyDescent="0.35">
      <c r="A70" s="116" t="s">
        <v>393</v>
      </c>
      <c r="B70" s="119">
        <f>0-J47</f>
        <v>-1.1487498023076923</v>
      </c>
    </row>
    <row r="71" spans="1:10" x14ac:dyDescent="0.35">
      <c r="A71" s="120" t="s">
        <v>48</v>
      </c>
      <c r="B71" s="13">
        <f>SUM(B69:B70)</f>
        <v>6.9553052404273501</v>
      </c>
    </row>
    <row r="73" spans="1:10" x14ac:dyDescent="0.35">
      <c r="A73" s="133" t="s">
        <v>390</v>
      </c>
      <c r="B73" s="134"/>
    </row>
    <row r="74" spans="1:10" x14ac:dyDescent="0.35">
      <c r="A74" s="42" t="s">
        <v>405</v>
      </c>
      <c r="B74" s="91">
        <f>D24</f>
        <v>8.1040550427350428</v>
      </c>
    </row>
    <row r="75" spans="1:10" x14ac:dyDescent="0.35">
      <c r="A75" s="42" t="s">
        <v>393</v>
      </c>
      <c r="B75" s="91">
        <f>0-J47</f>
        <v>-1.1487498023076923</v>
      </c>
    </row>
    <row r="76" spans="1:10" x14ac:dyDescent="0.35">
      <c r="A76" s="42" t="s">
        <v>406</v>
      </c>
      <c r="B76" s="91">
        <f>F51</f>
        <v>0.38291660076923084</v>
      </c>
    </row>
    <row r="77" spans="1:10" x14ac:dyDescent="0.35">
      <c r="A77" s="120" t="s">
        <v>48</v>
      </c>
      <c r="B77" s="13">
        <f>SUM(B74:B76)</f>
        <v>7.3382218411965807</v>
      </c>
    </row>
    <row r="78" spans="1:10" x14ac:dyDescent="0.35">
      <c r="A78" s="15"/>
    </row>
    <row r="79" spans="1:10" x14ac:dyDescent="0.35">
      <c r="A79" s="37" t="s">
        <v>96</v>
      </c>
      <c r="B79" s="38"/>
    </row>
    <row r="81" spans="1:2" x14ac:dyDescent="0.35">
      <c r="A81" s="2" t="s">
        <v>67</v>
      </c>
      <c r="B81" s="7"/>
    </row>
    <row r="82" spans="1:2" x14ac:dyDescent="0.35">
      <c r="A82" s="7" t="s">
        <v>116</v>
      </c>
      <c r="B82" s="7">
        <v>15</v>
      </c>
    </row>
    <row r="83" spans="1:2" x14ac:dyDescent="0.35">
      <c r="A83" s="7" t="s">
        <v>140</v>
      </c>
      <c r="B83" s="7">
        <v>15</v>
      </c>
    </row>
    <row r="85" spans="1:2" x14ac:dyDescent="0.35">
      <c r="A85" s="39" t="s">
        <v>115</v>
      </c>
      <c r="B85" s="40"/>
    </row>
    <row r="87" spans="1:2" x14ac:dyDescent="0.35">
      <c r="A87" t="s">
        <v>209</v>
      </c>
    </row>
    <row r="88" spans="1:2" x14ac:dyDescent="0.35">
      <c r="A88" t="s">
        <v>210</v>
      </c>
    </row>
    <row r="89" spans="1:2" x14ac:dyDescent="0.35">
      <c r="A89" t="s">
        <v>213</v>
      </c>
    </row>
    <row r="90" spans="1:2" x14ac:dyDescent="0.35">
      <c r="A90" t="s">
        <v>211</v>
      </c>
    </row>
    <row r="91" spans="1:2" x14ac:dyDescent="0.35">
      <c r="A91" t="s">
        <v>215</v>
      </c>
    </row>
    <row r="92" spans="1:2" x14ac:dyDescent="0.35">
      <c r="A92" t="s">
        <v>212</v>
      </c>
    </row>
    <row r="93" spans="1:2" x14ac:dyDescent="0.35">
      <c r="A93" t="s">
        <v>214</v>
      </c>
    </row>
    <row r="94" spans="1:2" x14ac:dyDescent="0.35">
      <c r="A94" t="s">
        <v>216</v>
      </c>
    </row>
    <row r="96" spans="1:2" x14ac:dyDescent="0.35">
      <c r="A96" t="s">
        <v>217</v>
      </c>
    </row>
    <row r="99" spans="1:10" x14ac:dyDescent="0.35">
      <c r="A99" s="1" t="s">
        <v>129</v>
      </c>
    </row>
    <row r="101" spans="1:10" ht="55" customHeight="1" x14ac:dyDescent="0.35">
      <c r="A101" s="155" t="s">
        <v>218</v>
      </c>
      <c r="B101" s="155"/>
      <c r="C101" s="155"/>
      <c r="D101" s="155"/>
      <c r="E101" s="155"/>
      <c r="F101" s="155"/>
      <c r="G101" s="155"/>
      <c r="H101" s="155"/>
      <c r="I101" s="155"/>
      <c r="J101" s="155"/>
    </row>
    <row r="102" spans="1:10" x14ac:dyDescent="0.35">
      <c r="A102" t="s">
        <v>219</v>
      </c>
    </row>
  </sheetData>
  <mergeCells count="1">
    <mergeCell ref="A101:J101"/>
  </mergeCells>
  <phoneticPr fontId="5" type="noConversion"/>
  <conditionalFormatting sqref="C40:J40">
    <cfRule type="cellIs" dxfId="15" priority="7" operator="greaterThanOrEqual">
      <formula>0.5</formula>
    </cfRule>
    <cfRule type="cellIs" dxfId="14" priority="8" operator="between">
      <formula>0.25</formula>
      <formula>0.5</formula>
    </cfRule>
  </conditionalFormatting>
  <conditionalFormatting sqref="C41:J41">
    <cfRule type="cellIs" dxfId="13" priority="5" operator="greaterThanOrEqual">
      <formula>2</formula>
    </cfRule>
    <cfRule type="cellIs" dxfId="12" priority="6" operator="greaterThanOrEqual">
      <formula>1</formula>
    </cfRule>
  </conditionalFormatting>
  <conditionalFormatting sqref="C51:J51">
    <cfRule type="cellIs" dxfId="11" priority="4" operator="greaterThanOrEqual">
      <formula>$J$47</formula>
    </cfRule>
  </conditionalFormatting>
  <conditionalFormatting sqref="C52:J52">
    <cfRule type="cellIs" dxfId="10" priority="2" operator="between">
      <formula>2</formula>
      <formula>4</formula>
    </cfRule>
    <cfRule type="cellIs" dxfId="9" priority="3" operator="greaterThanOrEqual">
      <formula>4</formula>
    </cfRule>
  </conditionalFormatting>
  <conditionalFormatting sqref="C47:J47">
    <cfRule type="cellIs" dxfId="8" priority="1" operator="greaterThanOrEqual">
      <formula>0.5</formula>
    </cfRule>
  </conditionalFormatting>
  <dataValidations count="1">
    <dataValidation type="list" allowBlank="1" showInputMessage="1" showErrorMessage="1" sqref="F6 A6:A14">
      <formula1>Ingrédients_recettes</formula1>
    </dataValidation>
  </dataValidations>
  <pageMargins left="0.7" right="0.7" top="0.75" bottom="0.75" header="0.3" footer="0.3"/>
  <pageSetup paperSize="9" scale="53" orientation="portrait" horizontalDpi="4294967293" verticalDpi="4294967293"/>
  <extLst>
    <ext xmlns:mx="http://schemas.microsoft.com/office/mac/excel/2008/main" uri="{64002731-A6B0-56B0-2670-7721B7C09600}">
      <mx:PLV Mode="0" OnePage="0" WScale="10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86"/>
  <sheetViews>
    <sheetView topLeftCell="A21" workbookViewId="0">
      <selection activeCell="C24" sqref="C24"/>
    </sheetView>
  </sheetViews>
  <sheetFormatPr baseColWidth="10" defaultRowHeight="14.5" x14ac:dyDescent="0.35"/>
  <cols>
    <col min="1" max="1" width="34.1796875" customWidth="1"/>
    <col min="2" max="2" width="14.6328125" bestFit="1" customWidth="1"/>
    <col min="3" max="3" width="13.1796875" bestFit="1" customWidth="1"/>
    <col min="4" max="4" width="14.36328125" bestFit="1" customWidth="1"/>
    <col min="5" max="5" width="10.1796875" bestFit="1" customWidth="1"/>
    <col min="6" max="6" width="10" customWidth="1"/>
  </cols>
  <sheetData>
    <row r="1" spans="1:6" x14ac:dyDescent="0.35">
      <c r="A1" s="43" t="s">
        <v>348</v>
      </c>
      <c r="B1" s="44"/>
      <c r="C1" s="44"/>
      <c r="D1" s="44"/>
      <c r="E1" s="44"/>
      <c r="F1" s="44"/>
    </row>
    <row r="2" spans="1:6" s="38" customFormat="1" x14ac:dyDescent="0.35">
      <c r="A2" s="73"/>
      <c r="B2" s="74"/>
      <c r="C2" s="74"/>
      <c r="D2" s="74"/>
      <c r="E2" s="74"/>
      <c r="F2" s="74"/>
    </row>
    <row r="3" spans="1:6" s="38" customFormat="1" x14ac:dyDescent="0.35">
      <c r="A3" s="68" t="s">
        <v>276</v>
      </c>
      <c r="B3" s="75"/>
      <c r="C3" s="75"/>
      <c r="D3" s="75"/>
      <c r="E3" s="75"/>
      <c r="F3" s="75"/>
    </row>
    <row r="5" spans="1:6" x14ac:dyDescent="0.35">
      <c r="A5" s="2" t="s">
        <v>68</v>
      </c>
      <c r="B5" s="2" t="s">
        <v>41</v>
      </c>
      <c r="C5" s="2" t="s">
        <v>42</v>
      </c>
      <c r="D5" s="2" t="s">
        <v>40</v>
      </c>
    </row>
    <row r="6" spans="1:6" x14ac:dyDescent="0.35">
      <c r="A6" s="7" t="s">
        <v>109</v>
      </c>
      <c r="B6" s="6">
        <f>0.17*2</f>
        <v>0.34</v>
      </c>
      <c r="C6" s="31">
        <f t="shared" ref="C6:C11" si="0">IF(ISERROR(VLOOKUP(A6,Tableau_produits,6,FALSE)),0,VLOOKUP(A6,Tableau_produits,6,FALSE))</f>
        <v>9.56</v>
      </c>
      <c r="D6" s="32">
        <f>C6*B6</f>
        <v>3.2504000000000004</v>
      </c>
    </row>
    <row r="7" spans="1:6" x14ac:dyDescent="0.35">
      <c r="A7" s="7" t="s">
        <v>152</v>
      </c>
      <c r="B7" s="6">
        <f>0.35*2</f>
        <v>0.7</v>
      </c>
      <c r="C7" s="31">
        <f t="shared" si="0"/>
        <v>2.2200000000000002</v>
      </c>
      <c r="D7" s="32">
        <f>C7*B7</f>
        <v>1.554</v>
      </c>
    </row>
    <row r="8" spans="1:6" x14ac:dyDescent="0.35">
      <c r="A8" s="7" t="s">
        <v>155</v>
      </c>
      <c r="B8" s="6">
        <f>4*2</f>
        <v>8</v>
      </c>
      <c r="C8" s="31">
        <f t="shared" si="0"/>
        <v>0.45</v>
      </c>
      <c r="D8" s="32">
        <f t="shared" ref="D8:D11" si="1">C8*B8</f>
        <v>3.6</v>
      </c>
    </row>
    <row r="9" spans="1:6" x14ac:dyDescent="0.35">
      <c r="A9" s="7" t="s">
        <v>239</v>
      </c>
      <c r="B9" s="6">
        <f>0.021*2</f>
        <v>4.2000000000000003E-2</v>
      </c>
      <c r="C9" s="31">
        <f t="shared" si="0"/>
        <v>15.476190476190476</v>
      </c>
      <c r="D9" s="32">
        <f t="shared" si="1"/>
        <v>0.65</v>
      </c>
    </row>
    <row r="10" spans="1:6" x14ac:dyDescent="0.35">
      <c r="A10" s="7" t="s">
        <v>153</v>
      </c>
      <c r="B10" s="10">
        <f>0.05*2</f>
        <v>0.1</v>
      </c>
      <c r="C10" s="31">
        <f t="shared" si="0"/>
        <v>3.9866666666666668</v>
      </c>
      <c r="D10" s="32">
        <f t="shared" si="1"/>
        <v>0.39866666666666672</v>
      </c>
    </row>
    <row r="11" spans="1:6" x14ac:dyDescent="0.35">
      <c r="A11" s="7" t="s">
        <v>154</v>
      </c>
      <c r="B11" s="22">
        <f>0.0075*2</f>
        <v>1.4999999999999999E-2</v>
      </c>
      <c r="C11" s="31">
        <f t="shared" si="0"/>
        <v>0</v>
      </c>
      <c r="D11" s="32">
        <f t="shared" si="1"/>
        <v>0</v>
      </c>
    </row>
    <row r="12" spans="1:6" x14ac:dyDescent="0.35">
      <c r="A12" s="13" t="s">
        <v>48</v>
      </c>
      <c r="B12" s="13"/>
      <c r="C12" s="13"/>
      <c r="D12" s="34">
        <f>SUM(D6:D11)</f>
        <v>9.4530666666666683</v>
      </c>
    </row>
    <row r="13" spans="1:6" x14ac:dyDescent="0.35">
      <c r="A13" s="34" t="str">
        <f>"Coût par portion ("&amp;ROUND(C16*1000,0)&amp;"g)"</f>
        <v>Coût par portion (0g)</v>
      </c>
      <c r="B13" s="13"/>
      <c r="C13" s="13"/>
      <c r="D13" s="34">
        <f>IF(E16=0,0,D12/E16)</f>
        <v>2.3632666666666671</v>
      </c>
    </row>
    <row r="15" spans="1:6" ht="43.5" x14ac:dyDescent="0.35">
      <c r="A15" s="2" t="s">
        <v>90</v>
      </c>
      <c r="B15" s="28" t="s">
        <v>91</v>
      </c>
      <c r="C15" s="28" t="s">
        <v>94</v>
      </c>
      <c r="D15" s="28" t="s">
        <v>92</v>
      </c>
      <c r="E15" s="28" t="s">
        <v>95</v>
      </c>
    </row>
    <row r="16" spans="1:6" x14ac:dyDescent="0.35">
      <c r="A16" s="7" t="s">
        <v>93</v>
      </c>
      <c r="B16" s="7"/>
      <c r="C16" s="7">
        <v>0</v>
      </c>
      <c r="D16" s="30">
        <v>4</v>
      </c>
      <c r="E16" s="35">
        <f>TRUNC(D16)</f>
        <v>4</v>
      </c>
    </row>
    <row r="18" spans="1:6" x14ac:dyDescent="0.35">
      <c r="A18" s="71" t="s">
        <v>277</v>
      </c>
      <c r="B18" s="69"/>
      <c r="C18" s="69"/>
      <c r="D18" s="70"/>
      <c r="E18" s="69"/>
      <c r="F18" s="67"/>
    </row>
    <row r="19" spans="1:6" s="38" customFormat="1" x14ac:dyDescent="0.35">
      <c r="A19" s="58"/>
      <c r="B19" s="60"/>
      <c r="C19" s="60"/>
      <c r="D19" s="64"/>
      <c r="E19" s="60"/>
    </row>
    <row r="20" spans="1:6" s="38" customFormat="1" x14ac:dyDescent="0.35">
      <c r="A20" s="16" t="s">
        <v>274</v>
      </c>
      <c r="B20" s="2" t="s">
        <v>267</v>
      </c>
      <c r="C20" s="2" t="s">
        <v>268</v>
      </c>
      <c r="D20" s="2" t="s">
        <v>269</v>
      </c>
      <c r="E20" s="60"/>
    </row>
    <row r="21" spans="1:6" s="38" customFormat="1" x14ac:dyDescent="0.35">
      <c r="A21" s="7" t="s">
        <v>270</v>
      </c>
      <c r="B21" s="78">
        <v>4</v>
      </c>
      <c r="C21" s="24">
        <f>D13</f>
        <v>2.3632666666666671</v>
      </c>
      <c r="D21" s="35">
        <f>C21*B21</f>
        <v>9.4530666666666683</v>
      </c>
      <c r="E21" s="60"/>
    </row>
    <row r="22" spans="1:6" s="38" customFormat="1" x14ac:dyDescent="0.35">
      <c r="A22" s="7" t="s">
        <v>271</v>
      </c>
      <c r="B22" s="78">
        <v>2</v>
      </c>
      <c r="C22" s="24">
        <f>C21</f>
        <v>2.3632666666666671</v>
      </c>
      <c r="D22" s="35">
        <f>C22*B22</f>
        <v>4.7265333333333341</v>
      </c>
      <c r="E22" s="60"/>
    </row>
    <row r="23" spans="1:6" s="38" customFormat="1" x14ac:dyDescent="0.35">
      <c r="A23" s="7" t="s">
        <v>272</v>
      </c>
      <c r="B23" s="35">
        <f>B21-B22</f>
        <v>2</v>
      </c>
      <c r="C23" s="82">
        <f>(D23/B23)*60%</f>
        <v>2.8359200000000002</v>
      </c>
      <c r="D23" s="35">
        <f>D21</f>
        <v>9.4530666666666683</v>
      </c>
      <c r="E23" s="60"/>
      <c r="F23" s="83"/>
    </row>
    <row r="24" spans="1:6" s="38" customFormat="1" x14ac:dyDescent="0.35">
      <c r="A24" s="58"/>
      <c r="B24" s="60"/>
      <c r="C24" s="60"/>
      <c r="D24" s="64"/>
      <c r="E24" s="60"/>
    </row>
    <row r="25" spans="1:6" x14ac:dyDescent="0.35">
      <c r="A25" s="16" t="s">
        <v>275</v>
      </c>
      <c r="B25" s="50" t="s">
        <v>235</v>
      </c>
      <c r="C25" s="46">
        <v>1</v>
      </c>
      <c r="D25" s="45">
        <v>2</v>
      </c>
      <c r="E25" s="45">
        <v>3</v>
      </c>
      <c r="F25" s="46">
        <v>4</v>
      </c>
    </row>
    <row r="26" spans="1:6" x14ac:dyDescent="0.35">
      <c r="A26" s="17" t="s">
        <v>51</v>
      </c>
      <c r="B26" s="53"/>
      <c r="C26" s="24">
        <f>$C$23*C25</f>
        <v>2.8359200000000002</v>
      </c>
      <c r="D26" s="24">
        <f t="shared" ref="D26:E26" si="2">$C$23*D25</f>
        <v>5.6718400000000004</v>
      </c>
      <c r="E26" s="24">
        <f t="shared" si="2"/>
        <v>8.5077600000000011</v>
      </c>
      <c r="F26" s="24">
        <f t="shared" ref="F26" si="3">$C$23*F25</f>
        <v>11.343680000000001</v>
      </c>
    </row>
    <row r="27" spans="1:6" x14ac:dyDescent="0.35">
      <c r="A27" s="16" t="s">
        <v>472</v>
      </c>
      <c r="B27" s="54">
        <f>1/2</f>
        <v>0.5</v>
      </c>
      <c r="C27" s="24">
        <f>(($C$26+$B$27)+$C$48)*C25</f>
        <v>3.5592487000000004</v>
      </c>
      <c r="D27" s="24">
        <f t="shared" ref="D27:F27" si="4">(($C$26+$B$27)+$C$48)*D25</f>
        <v>7.1184974000000008</v>
      </c>
      <c r="E27" s="24">
        <f t="shared" si="4"/>
        <v>10.6777461</v>
      </c>
      <c r="F27" s="24">
        <f t="shared" si="4"/>
        <v>14.236994800000002</v>
      </c>
    </row>
    <row r="28" spans="1:6" x14ac:dyDescent="0.35">
      <c r="A28" s="55" t="s">
        <v>380</v>
      </c>
      <c r="B28" s="56"/>
      <c r="C28" s="34">
        <f>C27+(C27*5.5%)</f>
        <v>3.7550073785000002</v>
      </c>
      <c r="D28" s="34">
        <f t="shared" ref="D28:E28" si="5">D27+(D27*5.5%)</f>
        <v>7.5100147570000004</v>
      </c>
      <c r="E28" s="34">
        <f t="shared" si="5"/>
        <v>11.265022135500001</v>
      </c>
      <c r="F28" s="34">
        <f t="shared" ref="F28" si="6">F27+(F27*5.5%)</f>
        <v>15.020029514000001</v>
      </c>
    </row>
    <row r="29" spans="1:6" s="38" customFormat="1" x14ac:dyDescent="0.35">
      <c r="A29" s="49" t="s">
        <v>233</v>
      </c>
      <c r="B29" s="15"/>
      <c r="C29" s="15"/>
      <c r="D29" s="15"/>
      <c r="E29" s="15"/>
    </row>
    <row r="30" spans="1:6" x14ac:dyDescent="0.35">
      <c r="A30" s="15"/>
      <c r="B30" s="14"/>
      <c r="C30" s="14"/>
      <c r="D30" s="14"/>
      <c r="E30" s="14"/>
    </row>
    <row r="31" spans="1:6" x14ac:dyDescent="0.35">
      <c r="A31" s="16" t="s">
        <v>49</v>
      </c>
      <c r="B31" s="56"/>
      <c r="C31" s="47">
        <v>1</v>
      </c>
      <c r="D31" s="47">
        <v>2</v>
      </c>
      <c r="E31" s="47">
        <v>3</v>
      </c>
      <c r="F31" s="48">
        <v>4</v>
      </c>
    </row>
    <row r="32" spans="1:6" x14ac:dyDescent="0.35">
      <c r="A32" s="17" t="s">
        <v>52</v>
      </c>
      <c r="B32" s="56"/>
      <c r="C32" s="24">
        <f>C26-($C$21*C31)</f>
        <v>0.47265333333333315</v>
      </c>
      <c r="D32" s="24">
        <f t="shared" ref="D32:E32" si="7">D26-($C$21*D31)</f>
        <v>0.9453066666666663</v>
      </c>
      <c r="E32" s="24">
        <f t="shared" si="7"/>
        <v>1.4179599999999999</v>
      </c>
      <c r="F32" s="24">
        <f t="shared" ref="F32" si="8">F26-($C$21*F31)</f>
        <v>1.8906133333333326</v>
      </c>
    </row>
    <row r="33" spans="1:6" x14ac:dyDescent="0.35">
      <c r="A33" s="17" t="s">
        <v>53</v>
      </c>
      <c r="B33" s="56"/>
      <c r="C33" s="24">
        <f>C27-C26</f>
        <v>0.72332870000000016</v>
      </c>
      <c r="D33" s="24">
        <f t="shared" ref="D33:E33" si="9">D27-D26</f>
        <v>1.4466574000000003</v>
      </c>
      <c r="E33" s="24">
        <f t="shared" si="9"/>
        <v>2.1699860999999991</v>
      </c>
      <c r="F33" s="24">
        <f t="shared" ref="F33" si="10">F27-F26</f>
        <v>2.8933148000000006</v>
      </c>
    </row>
    <row r="34" spans="1:6" s="38" customFormat="1" x14ac:dyDescent="0.35">
      <c r="A34" s="49" t="s">
        <v>234</v>
      </c>
      <c r="B34" s="15"/>
      <c r="C34" s="15"/>
      <c r="D34" s="15"/>
      <c r="E34" s="15"/>
    </row>
    <row r="36" spans="1:6" x14ac:dyDescent="0.35">
      <c r="A36" s="2" t="s">
        <v>236</v>
      </c>
      <c r="B36" s="56"/>
      <c r="C36" s="47">
        <v>1</v>
      </c>
      <c r="D36" s="47">
        <v>2</v>
      </c>
      <c r="E36" s="47">
        <v>3</v>
      </c>
      <c r="F36" s="48">
        <v>4</v>
      </c>
    </row>
    <row r="37" spans="1:6" x14ac:dyDescent="0.35">
      <c r="A37" s="7" t="s">
        <v>238</v>
      </c>
      <c r="B37" s="56"/>
      <c r="C37" s="59">
        <f>IF($D$12=0,0,(C26)/$D$12)</f>
        <v>0.3</v>
      </c>
      <c r="D37" s="59">
        <f t="shared" ref="D37:E37" si="11">IF($D$12=0,0,(D26)/$D$12)</f>
        <v>0.6</v>
      </c>
      <c r="E37" s="59">
        <f t="shared" si="11"/>
        <v>0.89999999999999991</v>
      </c>
      <c r="F37" s="59">
        <f t="shared" ref="F37" si="12">IF($D$12=0,0,(F26)/$D$12)</f>
        <v>1.2</v>
      </c>
    </row>
    <row r="38" spans="1:6" x14ac:dyDescent="0.35">
      <c r="A38" s="7" t="s">
        <v>381</v>
      </c>
      <c r="B38" s="56"/>
      <c r="C38" s="24">
        <f>C33</f>
        <v>0.72332870000000016</v>
      </c>
      <c r="D38" s="24">
        <f t="shared" ref="D38:E38" si="13">D33</f>
        <v>1.4466574000000003</v>
      </c>
      <c r="E38" s="24">
        <f t="shared" si="13"/>
        <v>2.1699860999999991</v>
      </c>
      <c r="F38" s="24">
        <f t="shared" ref="F38" si="14">F33</f>
        <v>2.8933148000000006</v>
      </c>
    </row>
    <row r="40" spans="1:6" s="60" customFormat="1" x14ac:dyDescent="0.35">
      <c r="A40" s="71" t="s">
        <v>384</v>
      </c>
      <c r="B40" s="76"/>
      <c r="C40" s="111"/>
      <c r="D40" s="111"/>
      <c r="E40" s="111"/>
      <c r="F40" s="111"/>
    </row>
    <row r="41" spans="1:6" s="60" customFormat="1" x14ac:dyDescent="0.35">
      <c r="B41" s="57"/>
      <c r="C41" s="15"/>
      <c r="D41" s="15"/>
      <c r="E41" s="15"/>
      <c r="F41" s="15"/>
    </row>
    <row r="42" spans="1:6" s="60" customFormat="1" ht="43.5" x14ac:dyDescent="0.35">
      <c r="A42" s="109" t="s">
        <v>385</v>
      </c>
      <c r="B42" s="112">
        <v>0.15</v>
      </c>
      <c r="C42" s="48">
        <v>1</v>
      </c>
      <c r="D42" s="48">
        <v>2</v>
      </c>
      <c r="E42" s="48">
        <v>3</v>
      </c>
      <c r="F42" s="48">
        <v>4</v>
      </c>
    </row>
    <row r="43" spans="1:6" s="60" customFormat="1" x14ac:dyDescent="0.35">
      <c r="A43" s="11" t="s">
        <v>382</v>
      </c>
      <c r="B43" s="110"/>
      <c r="C43" s="24">
        <f>($C$21-$C$21*5.5%)*C42</f>
        <v>2.2332870000000002</v>
      </c>
      <c r="D43" s="24">
        <f t="shared" ref="D43:E43" si="15">($C$21-$C$21*5.5%)*D42</f>
        <v>4.4665740000000005</v>
      </c>
      <c r="E43" s="24">
        <f t="shared" si="15"/>
        <v>6.6998610000000003</v>
      </c>
      <c r="F43" s="24">
        <f t="shared" ref="F43" si="16">($C$21-$C$21*5.5%)*F42</f>
        <v>8.933148000000001</v>
      </c>
    </row>
    <row r="44" spans="1:6" s="60" customFormat="1" x14ac:dyDescent="0.35">
      <c r="A44" s="11" t="s">
        <v>281</v>
      </c>
      <c r="B44" s="16"/>
      <c r="C44" s="115">
        <f>C43*$B$42</f>
        <v>0.33499305000000001</v>
      </c>
      <c r="D44" s="115">
        <f t="shared" ref="D44:E44" si="17">D43*$B$42</f>
        <v>0.66998610000000003</v>
      </c>
      <c r="E44" s="115">
        <f t="shared" si="17"/>
        <v>1.00497915</v>
      </c>
      <c r="F44" s="115">
        <f t="shared" ref="F44" si="18">F43*$B$42</f>
        <v>1.3399722000000001</v>
      </c>
    </row>
    <row r="45" spans="1:6" s="60" customFormat="1" x14ac:dyDescent="0.35">
      <c r="B45" s="57"/>
      <c r="C45" s="114"/>
      <c r="D45" s="114"/>
      <c r="E45" s="114"/>
      <c r="F45" s="114"/>
    </row>
    <row r="46" spans="1:6" s="60" customFormat="1" ht="43.5" x14ac:dyDescent="0.35">
      <c r="A46" s="109" t="s">
        <v>394</v>
      </c>
      <c r="B46" s="112">
        <v>0.1</v>
      </c>
      <c r="C46" s="48">
        <v>1</v>
      </c>
      <c r="D46" s="48">
        <v>2</v>
      </c>
      <c r="E46" s="48">
        <v>3</v>
      </c>
      <c r="F46" s="48">
        <v>4</v>
      </c>
    </row>
    <row r="47" spans="1:6" s="60" customFormat="1" x14ac:dyDescent="0.35">
      <c r="A47" s="11" t="s">
        <v>382</v>
      </c>
      <c r="B47" s="16"/>
      <c r="C47" s="24">
        <f>($C$21-$C$21*5.5%)*C46</f>
        <v>2.2332870000000002</v>
      </c>
      <c r="D47" s="24">
        <f t="shared" ref="D47:E47" si="19">($C$21-$C$21*5.5%)*D46</f>
        <v>4.4665740000000005</v>
      </c>
      <c r="E47" s="24">
        <f t="shared" si="19"/>
        <v>6.6998610000000003</v>
      </c>
      <c r="F47" s="24">
        <f t="shared" ref="F47" si="20">($C$21-$C$21*5.5%)*F46</f>
        <v>8.933148000000001</v>
      </c>
    </row>
    <row r="48" spans="1:6" s="60" customFormat="1" x14ac:dyDescent="0.35">
      <c r="A48" s="11" t="s">
        <v>386</v>
      </c>
      <c r="B48" s="16"/>
      <c r="C48" s="113">
        <f>C47*$B$46</f>
        <v>0.22332870000000005</v>
      </c>
      <c r="D48" s="113">
        <f t="shared" ref="D48:E48" si="21">D47*$B$46</f>
        <v>0.44665740000000009</v>
      </c>
      <c r="E48" s="113">
        <f t="shared" si="21"/>
        <v>0.66998610000000003</v>
      </c>
      <c r="F48" s="113">
        <f t="shared" ref="F48" si="22">F47*$B$46</f>
        <v>0.89331480000000019</v>
      </c>
    </row>
    <row r="49" spans="1:6" s="60" customFormat="1" x14ac:dyDescent="0.35">
      <c r="A49" s="11" t="s">
        <v>387</v>
      </c>
      <c r="B49" s="16"/>
      <c r="C49" s="113">
        <f>C38-C48</f>
        <v>0.50000000000000011</v>
      </c>
      <c r="D49" s="113">
        <f t="shared" ref="D49:E49" si="23">D38-D48</f>
        <v>1.0000000000000002</v>
      </c>
      <c r="E49" s="113">
        <f t="shared" si="23"/>
        <v>1.4999999999999991</v>
      </c>
      <c r="F49" s="113">
        <f t="shared" ref="F49" si="24">F38-F48</f>
        <v>2.0000000000000004</v>
      </c>
    </row>
    <row r="51" spans="1:6" x14ac:dyDescent="0.35">
      <c r="A51" s="68" t="s">
        <v>419</v>
      </c>
      <c r="B51" s="67"/>
      <c r="C51" s="67"/>
      <c r="D51" s="67"/>
      <c r="E51" s="67"/>
      <c r="F51" s="67"/>
    </row>
    <row r="53" spans="1:6" x14ac:dyDescent="0.35">
      <c r="A53" s="117" t="s">
        <v>389</v>
      </c>
      <c r="B53" s="118"/>
    </row>
    <row r="54" spans="1:6" x14ac:dyDescent="0.35">
      <c r="A54" s="116" t="s">
        <v>395</v>
      </c>
      <c r="B54" s="119">
        <f>F44</f>
        <v>1.3399722000000001</v>
      </c>
    </row>
    <row r="55" spans="1:6" x14ac:dyDescent="0.35">
      <c r="A55" s="42" t="s">
        <v>396</v>
      </c>
      <c r="B55" s="91">
        <f>D38</f>
        <v>1.4466574000000003</v>
      </c>
    </row>
    <row r="56" spans="1:6" x14ac:dyDescent="0.35">
      <c r="A56" s="120" t="s">
        <v>48</v>
      </c>
      <c r="B56" s="13">
        <f>SUM(B54:B55)</f>
        <v>2.7866296000000004</v>
      </c>
    </row>
    <row r="58" spans="1:6" x14ac:dyDescent="0.35">
      <c r="A58" s="117" t="s">
        <v>390</v>
      </c>
      <c r="B58" s="118"/>
    </row>
    <row r="59" spans="1:6" x14ac:dyDescent="0.35">
      <c r="A59" s="116" t="s">
        <v>395</v>
      </c>
      <c r="B59" s="119">
        <f>F44</f>
        <v>1.3399722000000001</v>
      </c>
    </row>
    <row r="60" spans="1:6" x14ac:dyDescent="0.35">
      <c r="A60" s="42" t="s">
        <v>396</v>
      </c>
      <c r="B60" s="91">
        <f>D49</f>
        <v>1.0000000000000002</v>
      </c>
    </row>
    <row r="61" spans="1:6" x14ac:dyDescent="0.35">
      <c r="A61" s="120" t="s">
        <v>48</v>
      </c>
      <c r="B61" s="13">
        <f>SUM(B59:B60)</f>
        <v>2.3399722000000001</v>
      </c>
    </row>
    <row r="63" spans="1:6" x14ac:dyDescent="0.35">
      <c r="A63" s="68" t="s">
        <v>420</v>
      </c>
      <c r="B63" s="67"/>
      <c r="C63" s="67"/>
      <c r="D63" s="67"/>
      <c r="E63" s="67"/>
      <c r="F63" s="67"/>
    </row>
    <row r="65" spans="1:2" x14ac:dyDescent="0.35">
      <c r="A65" s="117" t="s">
        <v>389</v>
      </c>
      <c r="B65" s="118"/>
    </row>
    <row r="66" spans="1:2" x14ac:dyDescent="0.35">
      <c r="A66" s="42" t="s">
        <v>405</v>
      </c>
      <c r="B66" s="91">
        <f>D21</f>
        <v>9.4530666666666683</v>
      </c>
    </row>
    <row r="67" spans="1:2" x14ac:dyDescent="0.35">
      <c r="A67" s="116" t="s">
        <v>395</v>
      </c>
      <c r="B67" s="119">
        <f>0-F44</f>
        <v>-1.3399722000000001</v>
      </c>
    </row>
    <row r="68" spans="1:2" x14ac:dyDescent="0.35">
      <c r="A68" s="120" t="s">
        <v>48</v>
      </c>
      <c r="B68" s="13">
        <f>SUM(B66:B67)</f>
        <v>8.1130944666666682</v>
      </c>
    </row>
    <row r="70" spans="1:2" x14ac:dyDescent="0.35">
      <c r="A70" s="133" t="s">
        <v>390</v>
      </c>
      <c r="B70" s="134"/>
    </row>
    <row r="71" spans="1:2" x14ac:dyDescent="0.35">
      <c r="A71" s="42" t="s">
        <v>405</v>
      </c>
      <c r="B71" s="91">
        <f>D21</f>
        <v>9.4530666666666683</v>
      </c>
    </row>
    <row r="72" spans="1:2" x14ac:dyDescent="0.35">
      <c r="A72" s="42" t="s">
        <v>393</v>
      </c>
      <c r="B72" s="91">
        <f>0-F44</f>
        <v>-1.3399722000000001</v>
      </c>
    </row>
    <row r="73" spans="1:2" x14ac:dyDescent="0.35">
      <c r="A73" s="42" t="s">
        <v>406</v>
      </c>
      <c r="B73" s="91">
        <f>D48</f>
        <v>0.44665740000000009</v>
      </c>
    </row>
    <row r="74" spans="1:2" x14ac:dyDescent="0.35">
      <c r="A74" s="120" t="s">
        <v>48</v>
      </c>
      <c r="B74" s="13">
        <f>SUM(B71:B73)</f>
        <v>8.5597518666666677</v>
      </c>
    </row>
    <row r="76" spans="1:2" x14ac:dyDescent="0.35">
      <c r="A76" s="37" t="s">
        <v>96</v>
      </c>
      <c r="B76" s="38"/>
    </row>
    <row r="78" spans="1:2" x14ac:dyDescent="0.35">
      <c r="A78" s="2" t="s">
        <v>67</v>
      </c>
      <c r="B78" s="7"/>
    </row>
    <row r="79" spans="1:2" x14ac:dyDescent="0.35">
      <c r="A79" s="7" t="s">
        <v>116</v>
      </c>
      <c r="B79" s="7" t="s">
        <v>240</v>
      </c>
    </row>
    <row r="80" spans="1:2" x14ac:dyDescent="0.35">
      <c r="A80" s="7" t="s">
        <v>140</v>
      </c>
      <c r="B80" s="7">
        <v>20</v>
      </c>
    </row>
    <row r="82" spans="1:2" x14ac:dyDescent="0.35">
      <c r="A82" s="39" t="s">
        <v>115</v>
      </c>
      <c r="B82" s="40"/>
    </row>
    <row r="84" spans="1:2" x14ac:dyDescent="0.35">
      <c r="A84" t="s">
        <v>241</v>
      </c>
    </row>
    <row r="85" spans="1:2" x14ac:dyDescent="0.35">
      <c r="A85" t="s">
        <v>242</v>
      </c>
    </row>
    <row r="86" spans="1:2" x14ac:dyDescent="0.35">
      <c r="A86" t="s">
        <v>243</v>
      </c>
    </row>
  </sheetData>
  <phoneticPr fontId="5" type="noConversion"/>
  <conditionalFormatting sqref="C37:F37">
    <cfRule type="cellIs" dxfId="7" priority="7" operator="greaterThanOrEqual">
      <formula>0.5</formula>
    </cfRule>
    <cfRule type="cellIs" dxfId="6" priority="8" operator="between">
      <formula>0.25</formula>
      <formula>0.5</formula>
    </cfRule>
  </conditionalFormatting>
  <conditionalFormatting sqref="C38:F38">
    <cfRule type="cellIs" dxfId="5" priority="5" operator="greaterThanOrEqual">
      <formula>1</formula>
    </cfRule>
    <cfRule type="cellIs" dxfId="4" priority="6" operator="between">
      <formula>0.5</formula>
      <formula>1</formula>
    </cfRule>
  </conditionalFormatting>
  <conditionalFormatting sqref="C49:F49">
    <cfRule type="cellIs" dxfId="3" priority="2" operator="between">
      <formula>0.5</formula>
      <formula>1</formula>
    </cfRule>
    <cfRule type="cellIs" dxfId="2" priority="3" operator="greaterThanOrEqual">
      <formula>1</formula>
    </cfRule>
  </conditionalFormatting>
  <conditionalFormatting sqref="C44:F44">
    <cfRule type="cellIs" dxfId="1" priority="1" operator="greaterThanOrEqual">
      <formula>0.5</formula>
    </cfRule>
  </conditionalFormatting>
  <conditionalFormatting sqref="C48:F48">
    <cfRule type="cellIs" dxfId="0" priority="13" operator="greaterThanOrEqual">
      <formula>$F$44</formula>
    </cfRule>
  </conditionalFormatting>
  <dataValidations count="1">
    <dataValidation type="list" allowBlank="1" showInputMessage="1" showErrorMessage="1" sqref="F6 A6:A11">
      <formula1>Ingrédients_recettes</formula1>
    </dataValidation>
  </dataValidations>
  <pageMargins left="0.7" right="0.7" top="0.75" bottom="0.75" header="0.3" footer="0.3"/>
  <pageSetup paperSize="9" scale="50" orientation="portrait" horizontalDpi="4294967293" verticalDpi="4294967293"/>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5"/>
  <sheetViews>
    <sheetView tabSelected="1" topLeftCell="A9" workbookViewId="0">
      <pane xSplit="1" topLeftCell="B1" activePane="topRight" state="frozen"/>
      <selection pane="topRight" activeCell="C27" sqref="C27"/>
    </sheetView>
  </sheetViews>
  <sheetFormatPr baseColWidth="10" defaultRowHeight="14.5" x14ac:dyDescent="0.35"/>
  <cols>
    <col min="1" max="1" width="2.81640625" bestFit="1" customWidth="1"/>
    <col min="2" max="2" width="24.453125" bestFit="1" customWidth="1"/>
    <col min="3" max="6" width="13.81640625" customWidth="1"/>
    <col min="7" max="7" width="5.81640625" style="60" customWidth="1"/>
    <col min="8" max="9" width="11.453125" customWidth="1"/>
    <col min="10" max="10" width="14.81640625" customWidth="1"/>
    <col min="11" max="11" width="14" customWidth="1"/>
    <col min="12" max="13" width="13.1796875" customWidth="1"/>
    <col min="14" max="14" width="14.26953125" customWidth="1"/>
  </cols>
  <sheetData>
    <row r="1" spans="1:14" x14ac:dyDescent="0.35">
      <c r="A1" s="101" t="s">
        <v>403</v>
      </c>
      <c r="B1" s="29"/>
      <c r="C1" s="101"/>
      <c r="D1" s="101"/>
      <c r="E1" s="101"/>
      <c r="F1" s="101"/>
      <c r="G1" s="102"/>
      <c r="H1" s="29"/>
      <c r="I1" s="29"/>
      <c r="J1" s="29"/>
      <c r="K1" s="29"/>
      <c r="L1" s="29"/>
      <c r="M1" s="29"/>
      <c r="N1" s="29"/>
    </row>
    <row r="3" spans="1:14" x14ac:dyDescent="0.35">
      <c r="A3" s="108" t="s">
        <v>404</v>
      </c>
      <c r="B3" s="63"/>
      <c r="C3" s="123"/>
      <c r="D3" s="123"/>
      <c r="E3" s="123"/>
      <c r="F3" s="123"/>
      <c r="G3" s="132"/>
      <c r="H3" s="63"/>
      <c r="I3" s="63"/>
      <c r="J3" s="63"/>
      <c r="K3" s="63"/>
      <c r="L3" s="63"/>
      <c r="M3" s="63"/>
      <c r="N3" s="63"/>
    </row>
    <row r="4" spans="1:14" s="60" customFormat="1" x14ac:dyDescent="0.35">
      <c r="A4" s="58"/>
      <c r="J4" s="125"/>
      <c r="K4" s="125"/>
    </row>
    <row r="5" spans="1:14" s="60" customFormat="1" x14ac:dyDescent="0.35">
      <c r="A5" s="129" t="s">
        <v>402</v>
      </c>
      <c r="B5" s="127"/>
      <c r="C5" s="127"/>
      <c r="D5" s="127"/>
      <c r="E5" s="127"/>
      <c r="F5" s="130"/>
      <c r="H5" s="129" t="s">
        <v>415</v>
      </c>
      <c r="I5" s="127"/>
      <c r="J5" s="131"/>
      <c r="K5" s="131"/>
      <c r="L5" s="127"/>
      <c r="M5" s="127"/>
      <c r="N5" s="127"/>
    </row>
    <row r="6" spans="1:14" ht="43.5" x14ac:dyDescent="0.35">
      <c r="A6" s="7"/>
      <c r="B6" s="28" t="s">
        <v>343</v>
      </c>
      <c r="C6" s="28" t="s">
        <v>397</v>
      </c>
      <c r="D6" s="28" t="s">
        <v>350</v>
      </c>
      <c r="E6" s="28" t="s">
        <v>354</v>
      </c>
      <c r="F6" s="28" t="s">
        <v>351</v>
      </c>
      <c r="G6" s="93"/>
      <c r="H6" s="28" t="s">
        <v>352</v>
      </c>
      <c r="I6" s="28" t="s">
        <v>353</v>
      </c>
      <c r="J6" s="28" t="s">
        <v>398</v>
      </c>
      <c r="K6" s="28" t="s">
        <v>399</v>
      </c>
      <c r="L6" s="28" t="s">
        <v>400</v>
      </c>
      <c r="M6" s="36" t="s">
        <v>401</v>
      </c>
      <c r="N6" s="36" t="s">
        <v>407</v>
      </c>
    </row>
    <row r="7" spans="1:14" x14ac:dyDescent="0.35">
      <c r="A7" s="7">
        <v>1</v>
      </c>
      <c r="B7" s="7" t="str">
        <f>'PP1 - Tarte tomates-moutarde'!A1</f>
        <v>Tarte tomates-moutardes</v>
      </c>
      <c r="C7" s="91">
        <f>'PP1 - Tarte tomates-moutarde'!C32</f>
        <v>3.7073686620928576</v>
      </c>
      <c r="D7" s="91">
        <f>'PP1 - Tarte tomates-moutarde'!C31</f>
        <v>3.5140935185714293</v>
      </c>
      <c r="E7" s="91">
        <f>'PP1 - Tarte tomates-moutarde'!C30</f>
        <v>2.388687428571429</v>
      </c>
      <c r="F7" s="91">
        <f>'PP1 - Tarte tomates-moutarde'!C25</f>
        <v>1.3270485714285716</v>
      </c>
      <c r="G7" s="15"/>
      <c r="H7" s="7">
        <f>'PP1 - Tarte tomates-moutarde'!B25</f>
        <v>8</v>
      </c>
      <c r="I7" s="7">
        <f>'PP1 - Tarte tomates-moutarde'!B27</f>
        <v>4</v>
      </c>
      <c r="J7" s="94">
        <f>'PP1 - Tarte tomates-moutarde'!F41</f>
        <v>0.9</v>
      </c>
      <c r="K7" s="91">
        <f>'PP1 - Tarte tomates-moutarde'!B60</f>
        <v>6.0064974400000013</v>
      </c>
      <c r="L7" s="91">
        <f>'PP1 - Tarte tomates-moutarde'!B65</f>
        <v>5.5048730800000012</v>
      </c>
      <c r="M7" s="91">
        <f>'PP1 - Tarte tomates-moutarde'!B72</f>
        <v>9.1115154914285732</v>
      </c>
      <c r="N7" s="91">
        <f>'PP1 - Tarte tomates-moutarde'!B78</f>
        <v>9.6131398514285742</v>
      </c>
    </row>
    <row r="8" spans="1:14" x14ac:dyDescent="0.35">
      <c r="A8" s="7">
        <v>2</v>
      </c>
      <c r="B8" s="7" t="str">
        <f>'PP2 - Pâtes champ-lard'!A1</f>
        <v>Pâtes champigons - lardons</v>
      </c>
      <c r="C8" s="91">
        <f>'PP2 - Pâtes champ-lard'!C30</f>
        <v>3.7295681635000006</v>
      </c>
      <c r="D8" s="91">
        <f>'PP2 - Pâtes champ-lard'!C29</f>
        <v>3.5351357000000005</v>
      </c>
      <c r="E8" s="91">
        <f>'PP2 - Pâtes champ-lard'!C28</f>
        <v>2.4086800000000004</v>
      </c>
      <c r="F8" s="91">
        <f>'PP2 - Pâtes champ-lard'!C23</f>
        <v>1.3381555555555558</v>
      </c>
      <c r="G8" s="15"/>
      <c r="H8" s="7">
        <f>'PP2 - Pâtes champ-lard'!B23</f>
        <v>8</v>
      </c>
      <c r="I8" s="7">
        <f>'PP2 - Pâtes champ-lard'!B25</f>
        <v>4</v>
      </c>
      <c r="J8" s="94">
        <f>'PP2 - Pâtes champ-lard'!F39</f>
        <v>0.9</v>
      </c>
      <c r="K8" s="91">
        <f>'PP2 - Pâtes champ-lard'!B58</f>
        <v>6.023291200000001</v>
      </c>
      <c r="L8" s="91">
        <f>'PP2 - Pâtes champ-lard'!B63</f>
        <v>5.5174684000000012</v>
      </c>
      <c r="M8" s="91">
        <f>'PP2 - Pâtes champ-lard'!B70</f>
        <v>9.1877760444444458</v>
      </c>
      <c r="N8" s="91">
        <f>'PP2 - Pâtes champ-lard'!B76</f>
        <v>9.6935988444444465</v>
      </c>
    </row>
    <row r="9" spans="1:14" x14ac:dyDescent="0.35">
      <c r="A9" s="7">
        <v>3</v>
      </c>
      <c r="B9" s="7" t="str">
        <f>'PP3 - Tortellini tomates-creme'!A1</f>
        <v>Tortellini tomates-crème</v>
      </c>
      <c r="C9" s="91">
        <f>'PP3 - Tortellini tomates-creme'!C30</f>
        <v>4.5333361145321422</v>
      </c>
      <c r="D9" s="91">
        <f>'PP3 - Tortellini tomates-creme'!C29</f>
        <v>4.297001056428571</v>
      </c>
      <c r="E9" s="91">
        <f>'PP3 - Tortellini tomates-creme'!C28</f>
        <v>3.1325425714285711</v>
      </c>
      <c r="F9" s="91">
        <f>'PP3 - Tortellini tomates-creme'!C23</f>
        <v>1.7403014285714284</v>
      </c>
      <c r="G9" s="15"/>
      <c r="H9" s="7">
        <f>'PP3 - Tortellini tomates-creme'!B23</f>
        <v>8</v>
      </c>
      <c r="I9" s="7">
        <f>'PP3 - Tortellini tomates-creme'!B25</f>
        <v>4</v>
      </c>
      <c r="J9" s="94">
        <f>'PP3 - Tortellini tomates-creme'!F39</f>
        <v>0.89999999999999991</v>
      </c>
      <c r="K9" s="91">
        <f>'PP3 - Tortellini tomates-creme'!B58</f>
        <v>6.6313357599999989</v>
      </c>
      <c r="L9" s="91">
        <f>'PP3 - Tortellini tomates-creme'!B63</f>
        <v>5.9735018199999992</v>
      </c>
      <c r="M9" s="91">
        <f>'PP3 - Tortellini tomates-creme'!B70</f>
        <v>11.948909608571428</v>
      </c>
      <c r="N9" s="91">
        <f>'PP3 - Tortellini tomates-creme'!B76</f>
        <v>12.606743548571428</v>
      </c>
    </row>
    <row r="10" spans="1:14" x14ac:dyDescent="0.35">
      <c r="A10" s="7">
        <v>4</v>
      </c>
      <c r="B10" s="7" t="str">
        <f>'PP4 - Curry lentilles poulet'!A1</f>
        <v>Curry lentilles poulet</v>
      </c>
      <c r="C10" s="91">
        <f>'PP4 - Curry lentilles poulet'!C33</f>
        <v>4.8799573203119051</v>
      </c>
      <c r="D10" s="91">
        <f>'PP4 - Curry lentilles poulet'!C32</f>
        <v>4.6255519623809525</v>
      </c>
      <c r="E10" s="91">
        <f>'PP4 - Curry lentilles poulet'!C31</f>
        <v>3.4447049523809521</v>
      </c>
      <c r="F10" s="91">
        <f>'PP4 - Curry lentilles poulet'!C26</f>
        <v>1.9137249735449733</v>
      </c>
      <c r="G10" s="15"/>
      <c r="H10" s="7">
        <f>'PP4 - Curry lentilles poulet'!B26</f>
        <v>8</v>
      </c>
      <c r="I10" s="7">
        <f>'PP4 - Curry lentilles poulet'!B28</f>
        <v>4</v>
      </c>
      <c r="J10" s="94">
        <f>'PP4 - Curry lentilles poulet'!F42</f>
        <v>0.9</v>
      </c>
      <c r="K10" s="91">
        <f>'PP4 - Curry lentilles poulet'!B61</f>
        <v>6.8935521600000005</v>
      </c>
      <c r="L10" s="91">
        <f>'PP4 - Curry lentilles poulet'!B66</f>
        <v>6.1701641200000008</v>
      </c>
      <c r="M10" s="91">
        <f>'PP4 - Curry lentilles poulet'!B73</f>
        <v>13.139635668359787</v>
      </c>
      <c r="N10" s="91">
        <f>'PP4 - Curry lentilles poulet'!B79</f>
        <v>13.863023708359787</v>
      </c>
    </row>
    <row r="11" spans="1:14" x14ac:dyDescent="0.35">
      <c r="A11" s="7">
        <v>5</v>
      </c>
      <c r="B11" s="7" t="str">
        <f>'PP5 - Soupe de boeuf'!A1</f>
        <v>Soupe de bœuf garnie</v>
      </c>
      <c r="C11" s="91">
        <f>'PP5 - Soupe de boeuf'!C33</f>
        <v>4.9107533936753249</v>
      </c>
      <c r="D11" s="91">
        <f>'PP5 - Soupe de boeuf'!C32</f>
        <v>4.6547425532467539</v>
      </c>
      <c r="E11" s="91">
        <f>'PP5 - Soupe de boeuf'!C31</f>
        <v>3.4724394805194807</v>
      </c>
      <c r="F11" s="91">
        <f>'PP5 - Soupe de boeuf'!C26</f>
        <v>1.9291330447330448</v>
      </c>
      <c r="G11" s="15"/>
      <c r="H11" s="7">
        <f>'PP5 - Soupe de boeuf'!B26</f>
        <v>8</v>
      </c>
      <c r="I11" s="7">
        <f>'PP5 - Soupe de boeuf'!B28</f>
        <v>4</v>
      </c>
      <c r="J11" s="94">
        <f>'PP5 - Soupe de boeuf'!F42</f>
        <v>0.9</v>
      </c>
      <c r="K11" s="91">
        <f>'PP5 - Soupe de boeuf'!B61</f>
        <v>6.9168491636363658</v>
      </c>
      <c r="L11" s="91">
        <f>'PP5 - Soupe de boeuf'!B66</f>
        <v>6.1876368727272748</v>
      </c>
      <c r="M11" s="91">
        <f>'PP5 - Soupe de boeuf'!B73</f>
        <v>13.245427485137085</v>
      </c>
      <c r="N11" s="91">
        <f>'PP5 - Soupe de boeuf'!B79</f>
        <v>13.974639776046176</v>
      </c>
    </row>
    <row r="12" spans="1:14" x14ac:dyDescent="0.35">
      <c r="A12" s="7">
        <v>6</v>
      </c>
      <c r="B12" s="7" t="str">
        <f>'PP6 - Spaghetti bolognaise'!A1</f>
        <v>Spaghetti bolognaise</v>
      </c>
      <c r="C12" s="91">
        <f>'PP6 - Spaghetti bolognaise'!C32</f>
        <v>5.6577671611249993</v>
      </c>
      <c r="D12" s="91">
        <f>'PP6 - Spaghetti bolognaise'!C31</f>
        <v>5.3628124749999992</v>
      </c>
      <c r="E12" s="91">
        <f>'PP6 - Spaghetti bolognaise'!C30</f>
        <v>4.1451899999999995</v>
      </c>
      <c r="F12" s="91">
        <f>'PP6 - Spaghetti bolognaise'!C25</f>
        <v>2.3028833333333329</v>
      </c>
      <c r="G12" s="15"/>
      <c r="H12" s="7">
        <f>'PP6 - Spaghetti bolognaise'!B25</f>
        <v>8</v>
      </c>
      <c r="I12" s="7">
        <f>'PP6 - Spaghetti bolognaise'!B27</f>
        <v>4</v>
      </c>
      <c r="J12" s="94">
        <f>'PP6 - Spaghetti bolognaise'!F41</f>
        <v>0.9</v>
      </c>
      <c r="K12" s="91">
        <f>'PP6 - Spaghetti bolognaise'!B60</f>
        <v>7.4819595999999988</v>
      </c>
      <c r="L12" s="91">
        <f>'PP6 - Spaghetti bolognaise'!B65</f>
        <v>6.6114696999999989</v>
      </c>
      <c r="M12" s="91">
        <f>'PP6 - Spaghetti bolognaise'!B72</f>
        <v>15.811596966666663</v>
      </c>
      <c r="N12" s="91">
        <f>'PP6 - Spaghetti bolognaise'!B78</f>
        <v>16.682086866666662</v>
      </c>
    </row>
    <row r="13" spans="1:14" x14ac:dyDescent="0.35">
      <c r="A13" s="7">
        <v>7</v>
      </c>
      <c r="B13" s="7" t="str">
        <f>'PP7 - Blanquette veau'!A1</f>
        <v>Blanquette de veau</v>
      </c>
      <c r="C13" s="91">
        <f>'PP7 - Blanquette veau'!C33</f>
        <v>6.0941294949817628</v>
      </c>
      <c r="D13" s="91">
        <f>'PP7 - Blanquette veau'!C32</f>
        <v>5.7764260615940879</v>
      </c>
      <c r="E13" s="91">
        <f>'PP7 - Blanquette veau'!C31</f>
        <v>4.5381720300181358</v>
      </c>
      <c r="F13" s="91">
        <f>'PP7 - Blanquette veau'!C26</f>
        <v>2.5212066833434088</v>
      </c>
      <c r="G13" s="15"/>
      <c r="H13" s="7">
        <f>'PP7 - Blanquette veau'!B26</f>
        <v>8</v>
      </c>
      <c r="I13" s="7">
        <f>'PP7 - Blanquette veau'!B28</f>
        <v>4</v>
      </c>
      <c r="J13" s="94">
        <f>'PP7 - Blanquette veau'!F42</f>
        <v>0.9</v>
      </c>
      <c r="K13" s="91">
        <f>'PP7 - Blanquette veau'!B61</f>
        <v>7.8120645052152335</v>
      </c>
      <c r="L13" s="91">
        <f>'PP7 - Blanquette veau'!B66</f>
        <v>6.8590483789114245</v>
      </c>
      <c r="M13" s="91">
        <f>'PP7 - Blanquette veau'!B73</f>
        <v>17.310605087835846</v>
      </c>
      <c r="N13" s="91">
        <f>'PP7 - Blanquette veau'!B79</f>
        <v>18.263621214139654</v>
      </c>
    </row>
    <row r="14" spans="1:14" x14ac:dyDescent="0.35">
      <c r="A14" s="7">
        <v>8</v>
      </c>
      <c r="B14" s="7" t="str">
        <f>'PP8 - Risotto cepes'!A1</f>
        <v>Risotto aux cêpes</v>
      </c>
      <c r="C14" s="91">
        <f>'PP8 - Risotto cepes'!C33</f>
        <v>7.5618996200750006</v>
      </c>
      <c r="D14" s="91">
        <f>'PP8 - Risotto cepes'!C32</f>
        <v>7.1676773650000003</v>
      </c>
      <c r="E14" s="91">
        <f>'PP8 - Risotto cepes'!C31</f>
        <v>5.8600260000000004</v>
      </c>
      <c r="F14" s="91">
        <f>'PP8 - Risotto cepes'!C26</f>
        <v>3.2555700000000001</v>
      </c>
      <c r="G14" s="15"/>
      <c r="H14" s="7">
        <f>'PP8 - Risotto cepes'!B26</f>
        <v>8</v>
      </c>
      <c r="I14" s="7">
        <f>'PP8 - Risotto cepes'!B28</f>
        <v>4</v>
      </c>
      <c r="J14" s="94">
        <f>'PP8 - Risotto cepes'!F42</f>
        <v>0.9</v>
      </c>
      <c r="K14" s="91">
        <f>'PP8 - Risotto cepes'!B61</f>
        <v>8.9224218399999984</v>
      </c>
      <c r="L14" s="91">
        <f>'PP8 - Risotto cepes'!B66</f>
        <v>7.6918163799999988</v>
      </c>
      <c r="M14" s="91">
        <f>'PP8 - Risotto cepes'!B73</f>
        <v>22.352743620000002</v>
      </c>
      <c r="N14" s="91">
        <f>'PP8 - Risotto cepes'!B79</f>
        <v>23.583349080000001</v>
      </c>
    </row>
    <row r="15" spans="1:14" x14ac:dyDescent="0.35">
      <c r="A15" s="7">
        <v>9</v>
      </c>
      <c r="B15" s="7" t="str">
        <f>'PP9 - Rougail saucisse'!A1</f>
        <v>Rougail saucisse</v>
      </c>
      <c r="C15" s="91">
        <f>'PP9 - Rougail saucisse'!C34</f>
        <v>7.6004371685964163</v>
      </c>
      <c r="D15" s="91">
        <f>'PP9 - Rougail saucisse'!C33</f>
        <v>7.2042058470108215</v>
      </c>
      <c r="E15" s="91">
        <f>'PP9 - Rougail saucisse'!C32</f>
        <v>5.8947323962098066</v>
      </c>
      <c r="F15" s="91">
        <f>'PP9 - Rougail saucisse'!C27</f>
        <v>3.2748513312276701</v>
      </c>
      <c r="G15" s="15"/>
      <c r="H15" s="7">
        <f>'PP9 - Rougail saucisse'!B27</f>
        <v>8</v>
      </c>
      <c r="I15" s="7">
        <f>'PP9 - Rougail saucisse'!B29</f>
        <v>4</v>
      </c>
      <c r="J15" s="94">
        <f>'PP9 - Rougail saucisse'!F43</f>
        <v>0.9</v>
      </c>
      <c r="K15" s="91">
        <f>'PP9 - Rougail saucisse'!B62</f>
        <v>8.9515752128162376</v>
      </c>
      <c r="L15" s="91">
        <f>'PP9 - Rougail saucisse'!B67</f>
        <v>7.7136814096121782</v>
      </c>
      <c r="M15" s="91">
        <f>'PP9 - Rougail saucisse'!B74</f>
        <v>22.485129240209183</v>
      </c>
      <c r="N15" s="91">
        <f>'PP9 - Rougail saucisse'!B80</f>
        <v>23.723023043413242</v>
      </c>
    </row>
    <row r="16" spans="1:14" x14ac:dyDescent="0.35">
      <c r="A16" s="7">
        <v>10</v>
      </c>
      <c r="B16" s="7" t="str">
        <f>'PP10 - Gnocchi à la dinde'!A1</f>
        <v>Gnocchi à la dinde</v>
      </c>
      <c r="C16" s="91">
        <f>'PP10 - Gnocchi à la dinde'!C31</f>
        <v>7.7310179940347217</v>
      </c>
      <c r="D16" s="91">
        <f>'PP10 - Gnocchi à la dinde'!C30</f>
        <v>7.3279791412651392</v>
      </c>
      <c r="E16" s="91">
        <f>'PP10 - Gnocchi à la dinde'!C29</f>
        <v>6.0123317256675906</v>
      </c>
      <c r="F16" s="91">
        <f>'PP10 - Gnocchi à la dinde'!C24</f>
        <v>3.3401842920375504</v>
      </c>
      <c r="G16" s="15"/>
      <c r="H16" s="7">
        <f>'PP10 - Gnocchi à la dinde'!B24</f>
        <v>8</v>
      </c>
      <c r="I16" s="7">
        <f>'PP10 - Gnocchi à la dinde'!B26</f>
        <v>4</v>
      </c>
      <c r="J16" s="94">
        <f>'PP10 - Gnocchi à la dinde'!F39</f>
        <v>0.9</v>
      </c>
      <c r="K16" s="91">
        <f>'PP10 - Gnocchi à la dinde'!B58</f>
        <v>9.050358649560776</v>
      </c>
      <c r="L16" s="91">
        <f>'PP10 - Gnocchi à la dinde'!B63</f>
        <v>7.7877689871705815</v>
      </c>
      <c r="M16" s="91">
        <f>'PP10 - Gnocchi à la dinde'!B70</f>
        <v>22.93370534912982</v>
      </c>
      <c r="N16" s="91">
        <f>'PP10 - Gnocchi à la dinde'!B76</f>
        <v>24.196295011520014</v>
      </c>
    </row>
    <row r="17" spans="1:14" x14ac:dyDescent="0.35">
      <c r="A17" s="7">
        <v>11</v>
      </c>
      <c r="B17" s="7" t="str">
        <f>'PP11 - Wok exotique'!A1</f>
        <v>Wok exotique</v>
      </c>
      <c r="C17" s="91">
        <f>'PP11 - Wok exotique'!C34</f>
        <v>8.4866444095697062</v>
      </c>
      <c r="D17" s="91">
        <f>'PP11 - Wok exotique'!C33</f>
        <v>8.0442127104926122</v>
      </c>
      <c r="E17" s="91">
        <f>'PP11 - Wok exotique'!C32</f>
        <v>6.6928386798029562</v>
      </c>
      <c r="F17" s="91">
        <f>'PP11 - Wok exotique'!C27</f>
        <v>3.7182437110016422</v>
      </c>
      <c r="G17" s="15"/>
      <c r="H17" s="7">
        <f>'PP11 - Wok exotique'!B27</f>
        <v>8</v>
      </c>
      <c r="I17" s="7">
        <f>'PP11 - Wok exotique'!B29</f>
        <v>4</v>
      </c>
      <c r="J17" s="94">
        <f>'PP11 - Wok exotique'!F43</f>
        <v>0.9</v>
      </c>
      <c r="K17" s="91">
        <f>'PP11 - Wok exotique'!B62</f>
        <v>9.6219844910344854</v>
      </c>
      <c r="L17" s="91">
        <f>'PP11 - Wok exotique'!B67</f>
        <v>8.2164883682758649</v>
      </c>
      <c r="M17" s="91">
        <f>'PP11 - Wok exotique'!B74</f>
        <v>25.529461319737276</v>
      </c>
      <c r="N17" s="91">
        <f>'PP11 - Wok exotique'!B80</f>
        <v>26.934957442495897</v>
      </c>
    </row>
    <row r="18" spans="1:14" x14ac:dyDescent="0.35">
      <c r="A18" s="7">
        <v>12</v>
      </c>
      <c r="B18" s="7" t="str">
        <f>'PP12 - Rostbeef moutarde'!A1</f>
        <v>Rostbeef à la moutarde</v>
      </c>
      <c r="C18" s="91">
        <f>'PP12 - Rostbeef moutarde'!C30</f>
        <v>10.495013260523264</v>
      </c>
      <c r="D18" s="91">
        <f>'PP12 - Rostbeef moutarde'!C29</f>
        <v>9.9478798677945619</v>
      </c>
      <c r="E18" s="91">
        <f>'PP12 - Rostbeef moutarde'!C28</f>
        <v>8.5015485679758314</v>
      </c>
      <c r="F18" s="91">
        <f>'PP12 - Rostbeef moutarde'!C23</f>
        <v>4.7230825377643502</v>
      </c>
      <c r="G18" s="15"/>
      <c r="H18" s="7">
        <f>'PP12 - Rostbeef moutarde'!B23</f>
        <v>8</v>
      </c>
      <c r="I18" s="7">
        <f>'PP12 - Rostbeef moutarde'!B25</f>
        <v>4</v>
      </c>
      <c r="J18" s="94">
        <f>'PP12 - Rostbeef moutarde'!F39</f>
        <v>0.90000000000000013</v>
      </c>
      <c r="K18" s="91">
        <f>'PP12 - Rostbeef moutarde'!B58</f>
        <v>11.141300797099696</v>
      </c>
      <c r="L18" s="91">
        <f>'PP12 - Rostbeef moutarde'!B63</f>
        <v>9.3559755978247701</v>
      </c>
      <c r="M18" s="91">
        <f>'PP12 - Rostbeef moutarde'!B70</f>
        <v>32.428684704290028</v>
      </c>
      <c r="N18" s="91">
        <f>'PP12 - Rostbeef moutarde'!B76</f>
        <v>34.21400990356495</v>
      </c>
    </row>
    <row r="19" spans="1:14" x14ac:dyDescent="0.35">
      <c r="A19" s="7">
        <v>13</v>
      </c>
      <c r="B19" s="7" t="str">
        <f>'PP13 - Truite amandes'!A1</f>
        <v>Truite aux amandes</v>
      </c>
      <c r="C19" s="91">
        <f>'PP13 - Truite amandes'!C41</f>
        <v>12.175541658263388</v>
      </c>
      <c r="D19" s="91">
        <f>'PP13 - Truite amandes'!C40</f>
        <v>11.540797780344443</v>
      </c>
      <c r="E19" s="91">
        <f>'PP13 - Truite amandes'!C39</f>
        <v>10.015009767548165</v>
      </c>
      <c r="F19" s="91">
        <f>'PP13 - Truite amandes'!C34</f>
        <v>5.5638943153045357</v>
      </c>
      <c r="G19" s="15"/>
      <c r="H19" s="7">
        <f>'PP13 - Truite amandes'!B34</f>
        <v>8</v>
      </c>
      <c r="I19" s="7">
        <f>'PP13 - Truite amandes'!B35</f>
        <v>4</v>
      </c>
      <c r="J19" s="94">
        <f>'PP13 - Truite amandes'!F50</f>
        <v>0.9</v>
      </c>
      <c r="K19" s="91">
        <f>'PP13 - Truite amandes'!B69</f>
        <v>12.412608204740456</v>
      </c>
      <c r="L19" s="91">
        <f>'PP13 - Truite amandes'!B74</f>
        <v>10.309456153555342</v>
      </c>
      <c r="M19" s="91">
        <f>'PP13 - Truite amandes'!B81</f>
        <v>38.20169836888094</v>
      </c>
      <c r="N19" s="91">
        <f>'PP13 - Truite amandes'!B87</f>
        <v>40.304850420066053</v>
      </c>
    </row>
    <row r="20" spans="1:14" x14ac:dyDescent="0.35">
      <c r="A20" s="7">
        <v>14</v>
      </c>
      <c r="B20" s="7" t="str">
        <f>'PP14 - Blanquette poisson'!A1</f>
        <v>Blanquette de poisson</v>
      </c>
      <c r="C20" s="91">
        <f>'PP14 - Blanquette poisson'!C34</f>
        <v>12.534710043328898</v>
      </c>
      <c r="D20" s="91">
        <f>'PP14 - Blanquette poisson'!C33</f>
        <v>11.881241747231183</v>
      </c>
      <c r="E20" s="91">
        <f>'PP14 - Blanquette poisson'!C32</f>
        <v>10.338471968865733</v>
      </c>
      <c r="F20" s="91">
        <f>'PP14 - Blanquette poisson'!C27</f>
        <v>5.7435955382587398</v>
      </c>
      <c r="G20" s="15"/>
      <c r="H20" s="7">
        <f>'PP14 - Blanquette poisson'!B27</f>
        <v>8</v>
      </c>
      <c r="I20" s="7">
        <f>'PP14 - Blanquette poisson'!B29</f>
        <v>4</v>
      </c>
      <c r="J20" s="94">
        <f>'PP14 - Blanquette poisson'!F43</f>
        <v>0.90000000000000013</v>
      </c>
      <c r="K20" s="91">
        <f>'PP14 - Blanquette poisson'!B62</f>
        <v>12.684316453847213</v>
      </c>
      <c r="L20" s="91">
        <f>'PP14 - Blanquette poisson'!B67</f>
        <v>10.513237340385409</v>
      </c>
      <c r="M20" s="91">
        <f>'PP14 - Blanquette poisson'!B74</f>
        <v>39.43552696568451</v>
      </c>
      <c r="N20" s="91">
        <f>'PP14 - Blanquette poisson'!B80</f>
        <v>41.60660607914631</v>
      </c>
    </row>
    <row r="21" spans="1:14" x14ac:dyDescent="0.35">
      <c r="A21" s="7">
        <v>15</v>
      </c>
      <c r="B21" s="7" t="str">
        <f>'PP15 - Roti d''agneau'!A1</f>
        <v>Roti d'agneau</v>
      </c>
      <c r="C21" s="91">
        <f>'PP15 - Roti d''agneau'!C34</f>
        <v>13.268036651287002</v>
      </c>
      <c r="D21" s="91">
        <f>'PP15 - Roti d''agneau'!C33</f>
        <v>12.576338058091945</v>
      </c>
      <c r="E21" s="91">
        <f>'PP15 - Roti d''agneau'!C32</f>
        <v>10.998896017189496</v>
      </c>
      <c r="F21" s="91">
        <f>'PP15 - Roti d''agneau'!C27</f>
        <v>6.1104977873274979</v>
      </c>
      <c r="G21" s="15"/>
      <c r="H21" s="7">
        <f>'PP15 - Roti d''agneau'!B27</f>
        <v>8</v>
      </c>
      <c r="I21" s="7">
        <f>'PP15 - Roti d''agneau'!B29</f>
        <v>4</v>
      </c>
      <c r="J21" s="94">
        <f>'PP15 - Roti d''agneau'!F43</f>
        <v>0.9</v>
      </c>
      <c r="K21" s="91">
        <f>'PP15 - Roti d''agneau'!B62</f>
        <v>13.239072654439179</v>
      </c>
      <c r="L21" s="91">
        <f>'PP15 - Roti d''agneau'!B67</f>
        <v>10.929304490829384</v>
      </c>
      <c r="M21" s="91">
        <f>'PP15 - Roti d''agneau'!B74</f>
        <v>41.954677807790603</v>
      </c>
      <c r="N21" s="91">
        <f>'PP15 - Roti d''agneau'!B80</f>
        <v>44.264445971400399</v>
      </c>
    </row>
    <row r="22" spans="1:14" x14ac:dyDescent="0.35">
      <c r="A22" s="7">
        <v>16</v>
      </c>
      <c r="B22" s="7" t="str">
        <f>'PP16 - Agneau curry-citron'!A1</f>
        <v>Agneau curry-citron</v>
      </c>
      <c r="C22" s="91">
        <f>'PP16 - Agneau curry-citron'!C33</f>
        <v>14.665258195303529</v>
      </c>
      <c r="D22" s="91">
        <f>'PP16 - Agneau curry-citron'!C32</f>
        <v>13.900718668534152</v>
      </c>
      <c r="E22" s="91">
        <f>'PP16 - Agneau curry-citron'!C31</f>
        <v>12.257214886968315</v>
      </c>
      <c r="F22" s="91">
        <f>'PP16 - Agneau curry-citron'!C26</f>
        <v>6.8095638260935081</v>
      </c>
      <c r="G22" s="15"/>
      <c r="H22" s="7">
        <f>'PP16 - Agneau curry-citron'!B26</f>
        <v>8</v>
      </c>
      <c r="I22" s="7">
        <f>'PP16 - Agneau curry-citron'!B28</f>
        <v>4</v>
      </c>
      <c r="J22" s="94">
        <f>'PP16 - Agneau curry-citron'!F42</f>
        <v>0.9</v>
      </c>
      <c r="K22" s="91">
        <f>'PP16 - Agneau curry-citron'!B61</f>
        <v>14.296060505053386</v>
      </c>
      <c r="L22" s="91">
        <f>'PP16 - Agneau curry-citron'!B66</f>
        <v>11.722045378790039</v>
      </c>
      <c r="M22" s="91">
        <f>'PP16 - Agneau curry-citron'!B73</f>
        <v>46.754465229958029</v>
      </c>
      <c r="N22" s="91">
        <f>'PP16 - Agneau curry-citron'!B79</f>
        <v>49.328480356221377</v>
      </c>
    </row>
    <row r="23" spans="1:14" x14ac:dyDescent="0.35">
      <c r="A23" s="11">
        <v>17</v>
      </c>
      <c r="B23" s="7" t="str">
        <f>'PP17 Tajine poulet (marocain)'!A1</f>
        <v>Tajine poulet à la marocaine</v>
      </c>
      <c r="C23" s="91">
        <f>'PP17 Tajine poulet (marocain)'!C42</f>
        <v>16.620349737156815</v>
      </c>
      <c r="D23" s="91">
        <f>'PP17 Tajine poulet (marocain)'!C41</f>
        <v>15.753886006783711</v>
      </c>
      <c r="E23" s="91">
        <f>'PP17 Tajine poulet (marocain)'!C40</f>
        <v>14.017943949438205</v>
      </c>
      <c r="F23" s="91">
        <f>'PP17 Tajine poulet (marocain)'!C35</f>
        <v>7.7877466385767802</v>
      </c>
      <c r="G23" s="15"/>
      <c r="H23" s="7">
        <f>'PP17 Tajine poulet (marocain)'!B35</f>
        <v>8</v>
      </c>
      <c r="I23" s="7">
        <f>'PP17 Tajine poulet (marocain)'!B37</f>
        <v>4</v>
      </c>
      <c r="J23" s="94">
        <f>'PP17 Tajine poulet (marocain)'!F51</f>
        <v>0.9</v>
      </c>
      <c r="K23" s="91">
        <f>'PP17 Tajine poulet (marocain)'!B70</f>
        <v>15.775072917528092</v>
      </c>
      <c r="L23" s="91">
        <f>'PP17 Tajine poulet (marocain)'!B75</f>
        <v>12.831304688146069</v>
      </c>
      <c r="M23" s="91">
        <f>'PP17 Tajine poulet (marocain)'!B82</f>
        <v>53.470668420468172</v>
      </c>
      <c r="N23" s="91">
        <f>'PP17 Tajine poulet (marocain)'!B88</f>
        <v>56.414436649850195</v>
      </c>
    </row>
    <row r="24" spans="1:14" x14ac:dyDescent="0.35">
      <c r="A24" s="11">
        <v>18</v>
      </c>
      <c r="B24" s="7" t="str">
        <f>'PP18 Pintade curcuma'!A1</f>
        <v>Pintade au curcuma</v>
      </c>
      <c r="C24" s="91">
        <f>'PP18 Pintade curcuma'!C36</f>
        <v>16.803797530931323</v>
      </c>
      <c r="D24" s="91">
        <f>'PP18 Pintade curcuma'!C35</f>
        <v>15.927770171498883</v>
      </c>
      <c r="E24" s="91">
        <f>'PP18 Pintade curcuma'!C34</f>
        <v>14.183154557243595</v>
      </c>
      <c r="F24" s="91">
        <f>'PP18 Pintade curcuma'!C29</f>
        <v>7.8795303095797751</v>
      </c>
      <c r="G24" s="15"/>
      <c r="H24" s="7">
        <f>'PP18 Pintade curcuma'!B29</f>
        <v>8</v>
      </c>
      <c r="I24" s="7">
        <f>'PP18 Pintade curcuma'!B31</f>
        <v>4</v>
      </c>
      <c r="J24" s="94">
        <f>'PP18 Pintade curcuma'!F45</f>
        <v>0.9</v>
      </c>
      <c r="K24" s="91">
        <f>'PP18 Pintade curcuma'!B64</f>
        <v>15.913849828084617</v>
      </c>
      <c r="L24" s="91">
        <f>'PP18 Pintade curcuma'!B69</f>
        <v>12.935387371063461</v>
      </c>
      <c r="M24" s="91">
        <f>'PP18 Pintade curcuma'!B76</f>
        <v>54.100855105574738</v>
      </c>
      <c r="N24" s="91">
        <f>'PP18 Pintade curcuma'!B82</f>
        <v>57.07931756259589</v>
      </c>
    </row>
    <row r="25" spans="1:14" x14ac:dyDescent="0.35">
      <c r="A25" s="40"/>
      <c r="B25" s="40"/>
      <c r="C25" s="14"/>
      <c r="D25" s="14"/>
      <c r="E25" s="14"/>
      <c r="F25" s="14"/>
      <c r="G25" s="15"/>
      <c r="H25" s="40"/>
      <c r="I25" s="40"/>
      <c r="J25" s="99"/>
      <c r="K25" s="14"/>
      <c r="L25" s="14"/>
      <c r="M25" s="14"/>
      <c r="N25" s="14"/>
    </row>
    <row r="26" spans="1:14" x14ac:dyDescent="0.35">
      <c r="A26" s="7"/>
      <c r="B26" s="2" t="s">
        <v>611</v>
      </c>
      <c r="C26" s="13">
        <f>SUM(C7:C24)/$A$24</f>
        <v>8.9697548099605022</v>
      </c>
      <c r="D26" s="13">
        <f>SUM(D7:D24)/$A$24</f>
        <v>8.5021372606260694</v>
      </c>
      <c r="E26" s="13">
        <f>SUM(E7:E24)/$A$24</f>
        <v>7.1279213877682359</v>
      </c>
      <c r="F26" s="13">
        <f>SUM(F7:F24)/$A$24</f>
        <v>3.9599563265379083</v>
      </c>
      <c r="G26" s="16"/>
      <c r="H26" s="2"/>
      <c r="I26" s="2"/>
      <c r="J26" s="142"/>
      <c r="K26" s="13">
        <f>SUM(K7:K24)/$A$24</f>
        <v>9.987453965725317</v>
      </c>
      <c r="L26" s="13">
        <f>SUM(L7:L24)/$A$24</f>
        <v>8.4905904742939882</v>
      </c>
      <c r="M26" s="13">
        <f>SUM(M7:M24)/$A$24</f>
        <v>27.189060138009282</v>
      </c>
      <c r="N26" s="13">
        <f>SUM(N7:N24)/$A$24</f>
        <v>28.685923629440612</v>
      </c>
    </row>
    <row r="28" spans="1:14" x14ac:dyDescent="0.35">
      <c r="A28" s="95" t="s">
        <v>355</v>
      </c>
      <c r="B28" s="96"/>
      <c r="C28" s="97"/>
      <c r="D28" s="97"/>
      <c r="E28" s="97"/>
      <c r="F28" s="97"/>
      <c r="G28" s="97"/>
      <c r="H28" s="97"/>
      <c r="I28" s="97"/>
      <c r="J28" s="97"/>
      <c r="K28" s="96"/>
      <c r="L28" s="96"/>
      <c r="M28" s="96"/>
      <c r="N28" s="92"/>
    </row>
    <row r="29" spans="1:14" s="60" customFormat="1" x14ac:dyDescent="0.35">
      <c r="A29" s="58"/>
      <c r="C29" s="58"/>
      <c r="D29" s="58"/>
      <c r="E29" s="58"/>
      <c r="F29" s="58"/>
      <c r="G29" s="58"/>
      <c r="H29" s="58"/>
      <c r="I29" s="58"/>
      <c r="J29" s="58"/>
    </row>
    <row r="30" spans="1:14" s="60" customFormat="1" x14ac:dyDescent="0.35">
      <c r="A30" s="23" t="s">
        <v>402</v>
      </c>
      <c r="B30" s="11"/>
      <c r="C30" s="23"/>
      <c r="D30" s="23"/>
      <c r="E30" s="23"/>
      <c r="F30" s="23"/>
      <c r="G30" s="58"/>
      <c r="H30" s="129" t="s">
        <v>415</v>
      </c>
      <c r="I30" s="126"/>
      <c r="J30" s="126"/>
      <c r="K30" s="127"/>
      <c r="L30" s="127"/>
      <c r="M30" s="127"/>
      <c r="N30" s="130"/>
    </row>
    <row r="31" spans="1:14" ht="43.5" x14ac:dyDescent="0.35">
      <c r="A31" s="7"/>
      <c r="B31" s="28" t="s">
        <v>343</v>
      </c>
      <c r="C31" s="28" t="s">
        <v>349</v>
      </c>
      <c r="D31" s="28" t="s">
        <v>350</v>
      </c>
      <c r="E31" s="28" t="s">
        <v>354</v>
      </c>
      <c r="F31" s="28" t="s">
        <v>351</v>
      </c>
      <c r="G31" s="93"/>
      <c r="H31" s="28" t="s">
        <v>352</v>
      </c>
      <c r="I31" s="28" t="s">
        <v>353</v>
      </c>
      <c r="J31" s="28" t="s">
        <v>398</v>
      </c>
      <c r="K31" s="28" t="s">
        <v>399</v>
      </c>
      <c r="L31" s="28" t="s">
        <v>400</v>
      </c>
      <c r="M31" s="36" t="s">
        <v>401</v>
      </c>
      <c r="N31" s="36" t="s">
        <v>407</v>
      </c>
    </row>
    <row r="32" spans="1:14" x14ac:dyDescent="0.35">
      <c r="A32" s="7">
        <v>1</v>
      </c>
      <c r="B32" s="7" t="str">
        <f>'DP1 - Macarons framboise'!A1</f>
        <v>Macarons framboise</v>
      </c>
      <c r="C32" s="3">
        <f>'DP1 - Macarons framboise'!C29</f>
        <v>0.57558730610737185</v>
      </c>
      <c r="D32" s="3">
        <f>'DP1 - Macarons framboise'!C28</f>
        <v>0.54558038493589744</v>
      </c>
      <c r="E32" s="3">
        <f>'DP1 - Macarons framboise'!C27</f>
        <v>0.41740551282051286</v>
      </c>
      <c r="F32" s="3">
        <f>'DP1 - Macarons framboise'!C22</f>
        <v>0.29814679487179491</v>
      </c>
      <c r="G32" s="64"/>
      <c r="H32" s="7">
        <f>'DP1 - Macarons framboise'!B22</f>
        <v>40</v>
      </c>
      <c r="I32" s="7">
        <f>'DP1 - Macarons framboise'!B24</f>
        <v>20</v>
      </c>
      <c r="J32" s="94">
        <f>'DP1 - Macarons framboise'!V38</f>
        <v>0.7</v>
      </c>
      <c r="K32" s="91">
        <f>'DP1 - Macarons framboise'!B57</f>
        <v>4.2539897692307695</v>
      </c>
      <c r="L32" s="91">
        <f>'DP1 - Macarons framboise'!B62</f>
        <v>3.6904923269230769</v>
      </c>
      <c r="M32" s="91">
        <f>'DP1 - Macarons framboise'!B69</f>
        <v>10.235379467948718</v>
      </c>
      <c r="N32" s="91">
        <f>'DP1 - Macarons framboise'!B75</f>
        <v>10.798876910256411</v>
      </c>
    </row>
    <row r="33" spans="1:15" x14ac:dyDescent="0.35">
      <c r="A33" s="7">
        <v>2</v>
      </c>
      <c r="B33" s="7" t="str">
        <f>'DP2 - Crêpes'!A1</f>
        <v>Crêpes</v>
      </c>
      <c r="C33" s="3">
        <f>'DP2 - Crêpes'!C26</f>
        <v>0.54876435141666657</v>
      </c>
      <c r="D33" s="3">
        <f>'DP2 - Crêpes'!C25</f>
        <v>0.52015578333333323</v>
      </c>
      <c r="E33" s="3">
        <f>'DP2 - Crêpes'!C24</f>
        <v>0.25307333333333332</v>
      </c>
      <c r="F33" s="3">
        <f>'DP2 - Crêpes'!C19</f>
        <v>0.18076666666666666</v>
      </c>
      <c r="G33" s="64"/>
      <c r="H33" s="7">
        <f>'DP2 - Crêpes'!B19</f>
        <v>16</v>
      </c>
      <c r="I33" s="7">
        <f>'DP2 - Crêpes'!B21</f>
        <v>8</v>
      </c>
      <c r="J33" s="94">
        <f>'DP2 - Crêpes'!J35</f>
        <v>0.7</v>
      </c>
      <c r="K33" s="91">
        <f>'DP2 - Crêpes'!B54</f>
        <v>2.5466383999999991</v>
      </c>
      <c r="L33" s="91">
        <f>'DP2 - Crêpes'!B59</f>
        <v>2.4099787999999993</v>
      </c>
      <c r="M33" s="91">
        <f>'DP2 - Crêpes'!B66</f>
        <v>2.4822878666666668</v>
      </c>
      <c r="N33" s="91">
        <f>'DP2 - Crêpes'!B72</f>
        <v>2.6189474666666666</v>
      </c>
    </row>
    <row r="34" spans="1:15" x14ac:dyDescent="0.35">
      <c r="A34" s="7">
        <v>3</v>
      </c>
      <c r="B34" s="7" t="str">
        <f>'DP3 - Gaufres'!A1</f>
        <v>Gaufres à la crème</v>
      </c>
      <c r="C34" s="3">
        <f>'DP3 - Gaufres'!C30</f>
        <v>0.8541158481583333</v>
      </c>
      <c r="D34" s="3">
        <f>'DP3 - Gaufres'!C29*'DP3 - Gaufres'!C29</f>
        <v>0.6554335096473386</v>
      </c>
      <c r="E34" s="3">
        <f>'DP3 - Gaufres'!C28</f>
        <v>0.52420466666666665</v>
      </c>
      <c r="F34" s="3">
        <f>'DP3 - Gaufres'!C23</f>
        <v>0.37443190476190474</v>
      </c>
      <c r="G34" s="64"/>
      <c r="H34" s="7">
        <f>'DP3 - Gaufres'!B23</f>
        <v>16</v>
      </c>
      <c r="I34" s="7">
        <f>'DP3 - Gaufres'!B25</f>
        <v>8</v>
      </c>
      <c r="J34" s="94">
        <f>'DP3 - Gaufres'!J39</f>
        <v>0.70000000000000007</v>
      </c>
      <c r="K34" s="91">
        <f>'DP3 - Gaufres'!B58</f>
        <v>3.1322820799999995</v>
      </c>
      <c r="L34" s="91">
        <f>'DP3 - Gaufres'!B63</f>
        <v>2.8492115599999996</v>
      </c>
      <c r="M34" s="91">
        <f>'DP3 - Gaufres'!B70</f>
        <v>5.1416989161904763</v>
      </c>
      <c r="N34" s="91">
        <f>'DP3 - Gaufres'!B76</f>
        <v>5.4247694361904761</v>
      </c>
    </row>
    <row r="35" spans="1:15" x14ac:dyDescent="0.35">
      <c r="A35" s="7">
        <v>4</v>
      </c>
      <c r="B35" s="7" t="str">
        <f>'DP3 - Kaiserschmarrn'!A1</f>
        <v>Kaiserschmarrn (Dessert)</v>
      </c>
      <c r="C35" s="3">
        <f>'DP3 - Kaiserschmarrn'!C31</f>
        <v>2.124705415717842</v>
      </c>
      <c r="D35" s="3">
        <f>'DP3 - Kaiserschmarrn'!C30</f>
        <v>2.0139387826709401</v>
      </c>
      <c r="E35" s="3">
        <f>'DP3 - Kaiserschmarrn'!C29</f>
        <v>1.4182096324786324</v>
      </c>
      <c r="F35" s="3">
        <f>'DP3 - Kaiserschmarrn'!C24</f>
        <v>1.0130068803418804</v>
      </c>
      <c r="G35" s="64"/>
      <c r="H35" s="7">
        <f>'DP3 - Kaiserschmarrn'!B24</f>
        <v>8</v>
      </c>
      <c r="I35" s="7">
        <f>'DP3 - Kaiserschmarrn'!B26</f>
        <v>4</v>
      </c>
      <c r="J35" s="94">
        <f>'DP3 - Kaiserschmarrn'!F40</f>
        <v>0.7</v>
      </c>
      <c r="K35" s="91">
        <f>'DP3 - Kaiserschmarrn'!B59</f>
        <v>3.5316664030769229</v>
      </c>
      <c r="L35" s="91">
        <f>'DP3 - Kaiserschmarrn'!B64</f>
        <v>3.1487498023076919</v>
      </c>
      <c r="M35" s="91">
        <f>'DP3 - Kaiserschmarrn'!B71</f>
        <v>6.9553052404273501</v>
      </c>
      <c r="N35" s="91">
        <f>'DP3 - Kaiserschmarrn'!B77</f>
        <v>7.3382218411965807</v>
      </c>
    </row>
    <row r="36" spans="1:15" x14ac:dyDescent="0.35">
      <c r="A36" s="40"/>
      <c r="B36" s="40"/>
      <c r="C36" s="98"/>
      <c r="D36" s="98"/>
      <c r="E36" s="98"/>
      <c r="F36" s="98"/>
      <c r="G36" s="64"/>
      <c r="H36" s="40"/>
      <c r="I36" s="40"/>
      <c r="J36" s="99"/>
      <c r="K36" s="14"/>
      <c r="L36" s="14"/>
      <c r="M36" s="14"/>
      <c r="N36" s="14"/>
    </row>
    <row r="37" spans="1:15" x14ac:dyDescent="0.35">
      <c r="A37" s="2"/>
      <c r="B37" s="2" t="s">
        <v>611</v>
      </c>
      <c r="C37" s="9">
        <f>SUM(C34:C35)/$A$32</f>
        <v>2.9788212638761751</v>
      </c>
      <c r="D37" s="9">
        <f>SUM(D34:D35)/$A$32</f>
        <v>2.6693722923182786</v>
      </c>
      <c r="E37" s="9">
        <f>SUM(E34:E35)/$A$32</f>
        <v>1.9424142991452991</v>
      </c>
      <c r="F37" s="9">
        <f>SUM(F34:F35)/$A$32</f>
        <v>1.387438785103785</v>
      </c>
      <c r="G37" s="143"/>
      <c r="H37" s="2"/>
      <c r="I37" s="2"/>
      <c r="J37" s="142"/>
      <c r="K37" s="9">
        <f>SUM(K34:K35)/$A$32</f>
        <v>6.663948483076922</v>
      </c>
      <c r="L37" s="9">
        <f>SUM(L34:L35)/$A$32</f>
        <v>5.9979613623076915</v>
      </c>
      <c r="M37" s="9">
        <f>SUM(M34:M35)/$A$32</f>
        <v>12.097004156617826</v>
      </c>
      <c r="N37" s="9">
        <f>SUM(N34:N35)/$A$32</f>
        <v>12.762991277387057</v>
      </c>
      <c r="O37" s="98"/>
    </row>
    <row r="39" spans="1:15" x14ac:dyDescent="0.35">
      <c r="A39" s="141" t="s">
        <v>356</v>
      </c>
      <c r="B39" s="123"/>
      <c r="C39" s="123"/>
      <c r="D39" s="123"/>
      <c r="E39" s="123"/>
      <c r="F39" s="123"/>
      <c r="G39" s="123"/>
      <c r="H39" s="123"/>
      <c r="I39" s="123"/>
      <c r="J39" s="128"/>
      <c r="K39" s="123"/>
      <c r="L39" s="123"/>
      <c r="M39" s="123"/>
      <c r="N39" s="124"/>
    </row>
    <row r="40" spans="1:15" s="138" customFormat="1" x14ac:dyDescent="0.35">
      <c r="A40" s="139"/>
      <c r="J40" s="139"/>
    </row>
    <row r="41" spans="1:15" s="138" customFormat="1" x14ac:dyDescent="0.35">
      <c r="A41" s="23" t="s">
        <v>402</v>
      </c>
      <c r="B41" s="19"/>
      <c r="C41" s="19"/>
      <c r="D41" s="19"/>
      <c r="E41" s="19"/>
      <c r="F41" s="19"/>
      <c r="H41" s="23" t="s">
        <v>415</v>
      </c>
      <c r="I41" s="19"/>
      <c r="J41" s="140"/>
      <c r="K41" s="19"/>
      <c r="L41" s="19"/>
      <c r="M41" s="19"/>
      <c r="N41" s="19"/>
    </row>
    <row r="42" spans="1:15" ht="43.5" x14ac:dyDescent="0.35">
      <c r="A42" s="7"/>
      <c r="B42" s="28" t="s">
        <v>343</v>
      </c>
      <c r="C42" s="28" t="s">
        <v>349</v>
      </c>
      <c r="D42" s="28" t="s">
        <v>350</v>
      </c>
      <c r="E42" s="28" t="s">
        <v>354</v>
      </c>
      <c r="F42" s="28" t="s">
        <v>351</v>
      </c>
      <c r="G42" s="93"/>
      <c r="H42" s="28" t="s">
        <v>352</v>
      </c>
      <c r="I42" s="28" t="s">
        <v>353</v>
      </c>
      <c r="J42" s="28" t="s">
        <v>398</v>
      </c>
      <c r="K42" s="28" t="s">
        <v>399</v>
      </c>
      <c r="L42" s="28" t="s">
        <v>400</v>
      </c>
      <c r="M42" s="36" t="s">
        <v>401</v>
      </c>
      <c r="N42" s="36" t="s">
        <v>407</v>
      </c>
    </row>
    <row r="43" spans="1:15" x14ac:dyDescent="0.35">
      <c r="A43" s="7">
        <v>1</v>
      </c>
      <c r="B43" s="7" t="str">
        <f>'V1 - Brioche'!A1</f>
        <v>Brioche</v>
      </c>
      <c r="C43" s="91">
        <f>'V1 - Brioche'!C28</f>
        <v>3.7550073785000002</v>
      </c>
      <c r="D43" s="91">
        <f>'V1 - Brioche'!C27</f>
        <v>3.5592487000000004</v>
      </c>
      <c r="E43" s="91">
        <f>'V1 - Brioche'!C26</f>
        <v>2.8359200000000002</v>
      </c>
      <c r="F43" s="91">
        <f>'V1 - Brioche'!C21</f>
        <v>2.3632666666666671</v>
      </c>
      <c r="G43" s="15"/>
      <c r="H43" s="7">
        <f>'V1 - Brioche'!B21</f>
        <v>4</v>
      </c>
      <c r="I43" s="7">
        <f>'V1 - Brioche'!B23</f>
        <v>2</v>
      </c>
      <c r="J43" s="94">
        <f>'V1 - Brioche'!D37</f>
        <v>0.6</v>
      </c>
      <c r="K43" s="91">
        <f>'V1 - Brioche'!B56</f>
        <v>2.7866296000000004</v>
      </c>
      <c r="L43" s="91">
        <f>'V1 - Brioche'!B61</f>
        <v>2.3399722000000001</v>
      </c>
      <c r="M43" s="91">
        <f>'V1 - Brioche'!B68</f>
        <v>8.1130944666666682</v>
      </c>
      <c r="N43" s="91">
        <f>'V1 - Brioche'!B74</f>
        <v>8.5597518666666677</v>
      </c>
    </row>
    <row r="45" spans="1:15" x14ac:dyDescent="0.35">
      <c r="A45" s="9"/>
      <c r="B45" s="9" t="s">
        <v>611</v>
      </c>
      <c r="C45" s="9">
        <f>SUM(C43)/$A$43</f>
        <v>3.7550073785000002</v>
      </c>
      <c r="D45" s="9">
        <f t="shared" ref="D45:F45" si="0">SUM(D43)/$A$43</f>
        <v>3.5592487000000004</v>
      </c>
      <c r="E45" s="9">
        <f t="shared" si="0"/>
        <v>2.8359200000000002</v>
      </c>
      <c r="F45" s="9">
        <f t="shared" si="0"/>
        <v>2.3632666666666671</v>
      </c>
      <c r="G45" s="143"/>
      <c r="H45" s="9"/>
      <c r="I45" s="9"/>
      <c r="J45" s="9"/>
      <c r="K45" s="9">
        <f t="shared" ref="K45:N45" si="1">SUM(K43)/$A$43</f>
        <v>2.7866296000000004</v>
      </c>
      <c r="L45" s="9">
        <f t="shared" si="1"/>
        <v>2.3399722000000001</v>
      </c>
      <c r="M45" s="9">
        <f t="shared" si="1"/>
        <v>8.1130944666666682</v>
      </c>
      <c r="N45" s="9">
        <f t="shared" si="1"/>
        <v>8.5597518666666677</v>
      </c>
    </row>
  </sheetData>
  <phoneticPr fontId="5" type="noConversion"/>
  <pageMargins left="0.70000000000000007" right="0.70000000000000007" top="0.75000000000000011" bottom="0.75000000000000011" header="0.30000000000000004" footer="0.30000000000000004"/>
  <pageSetup paperSize="9" scale="88" orientation="landscape" horizontalDpi="4294967292" verticalDpi="4294967292"/>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8"/>
  <sheetViews>
    <sheetView topLeftCell="A20" workbookViewId="0">
      <selection activeCell="B13" sqref="B13:B14"/>
    </sheetView>
  </sheetViews>
  <sheetFormatPr baseColWidth="10" defaultRowHeight="14.5" x14ac:dyDescent="0.35"/>
  <cols>
    <col min="1" max="1" width="34.1796875" customWidth="1"/>
    <col min="2" max="2" width="14.6328125" bestFit="1" customWidth="1"/>
    <col min="3" max="3" width="13.1796875" bestFit="1" customWidth="1"/>
    <col min="4" max="4" width="14.36328125" bestFit="1" customWidth="1"/>
    <col min="5" max="5" width="10.1796875" bestFit="1" customWidth="1"/>
    <col min="6" max="6" width="12" customWidth="1"/>
    <col min="7" max="7" width="9.81640625" customWidth="1"/>
    <col min="8" max="8" width="10.90625" customWidth="1"/>
  </cols>
  <sheetData>
    <row r="1" spans="1:9" x14ac:dyDescent="0.35">
      <c r="A1" s="43" t="s">
        <v>344</v>
      </c>
      <c r="B1" s="44"/>
      <c r="C1" s="44"/>
      <c r="D1" s="44"/>
      <c r="E1" s="44"/>
      <c r="F1" s="44"/>
      <c r="G1" s="44"/>
      <c r="H1" s="63"/>
    </row>
    <row r="2" spans="1:9" s="38" customFormat="1" x14ac:dyDescent="0.35">
      <c r="A2" s="73"/>
      <c r="B2" s="74"/>
      <c r="C2" s="74"/>
      <c r="D2" s="74"/>
      <c r="E2" s="74"/>
      <c r="F2" s="74"/>
      <c r="G2" s="74"/>
    </row>
    <row r="3" spans="1:9" s="38" customFormat="1" x14ac:dyDescent="0.35">
      <c r="A3" s="68" t="s">
        <v>276</v>
      </c>
      <c r="B3" s="75"/>
      <c r="C3" s="75"/>
      <c r="D3" s="75"/>
      <c r="E3" s="75"/>
      <c r="F3" s="75"/>
      <c r="G3" s="75"/>
      <c r="H3" s="67"/>
    </row>
    <row r="5" spans="1:9" x14ac:dyDescent="0.35">
      <c r="A5" s="2" t="s">
        <v>68</v>
      </c>
      <c r="B5" s="2" t="s">
        <v>41</v>
      </c>
      <c r="C5" s="2" t="s">
        <v>42</v>
      </c>
      <c r="D5" s="2" t="s">
        <v>40</v>
      </c>
    </row>
    <row r="6" spans="1:9" x14ac:dyDescent="0.35">
      <c r="A6" s="7" t="s">
        <v>152</v>
      </c>
      <c r="B6" s="4">
        <f>0.25</f>
        <v>0.25</v>
      </c>
      <c r="C6" s="31">
        <f t="shared" ref="C6:C15" si="0">IF(ISERROR(VLOOKUP(A6,Tableau_produits,6,FALSE)),0,VLOOKUP(A6,Tableau_produits,6,FALSE))</f>
        <v>2.2200000000000002</v>
      </c>
      <c r="D6" s="32">
        <f>C6*B6</f>
        <v>0.55500000000000005</v>
      </c>
      <c r="E6" s="88"/>
      <c r="I6" s="89"/>
    </row>
    <row r="7" spans="1:9" x14ac:dyDescent="0.35">
      <c r="A7" s="7" t="s">
        <v>111</v>
      </c>
      <c r="B7" s="4">
        <f>0.005</f>
        <v>5.0000000000000001E-3</v>
      </c>
      <c r="C7" s="31">
        <f t="shared" si="0"/>
        <v>4.9800000000000004</v>
      </c>
      <c r="D7" s="32">
        <f>C7*B7</f>
        <v>2.4900000000000002E-2</v>
      </c>
      <c r="I7" s="89"/>
    </row>
    <row r="8" spans="1:9" x14ac:dyDescent="0.35">
      <c r="A8" s="7" t="s">
        <v>109</v>
      </c>
      <c r="B8" s="4">
        <f>0.125</f>
        <v>0.125</v>
      </c>
      <c r="C8" s="31">
        <f t="shared" si="0"/>
        <v>9.56</v>
      </c>
      <c r="D8" s="32">
        <f t="shared" ref="D8:D15" si="1">C8*B8</f>
        <v>1.1950000000000001</v>
      </c>
      <c r="I8" s="89"/>
    </row>
    <row r="9" spans="1:9" x14ac:dyDescent="0.35">
      <c r="A9" s="7" t="s">
        <v>155</v>
      </c>
      <c r="B9" s="4">
        <v>1</v>
      </c>
      <c r="C9" s="31">
        <f t="shared" si="0"/>
        <v>0.45</v>
      </c>
      <c r="D9" s="32">
        <f t="shared" si="1"/>
        <v>0.45</v>
      </c>
      <c r="I9" s="89"/>
    </row>
    <row r="10" spans="1:9" x14ac:dyDescent="0.35">
      <c r="A10" s="7" t="s">
        <v>342</v>
      </c>
      <c r="B10" s="86">
        <f>0.2/14</f>
        <v>1.4285714285714287E-2</v>
      </c>
      <c r="C10" s="31">
        <f t="shared" si="0"/>
        <v>11.25</v>
      </c>
      <c r="D10" s="32">
        <f t="shared" si="1"/>
        <v>0.16071428571428573</v>
      </c>
      <c r="I10" s="40"/>
    </row>
    <row r="11" spans="1:9" x14ac:dyDescent="0.35">
      <c r="A11" s="7" t="s">
        <v>301</v>
      </c>
      <c r="B11" s="86">
        <f>0.075*2</f>
        <v>0.15</v>
      </c>
      <c r="C11" s="31">
        <f t="shared" si="0"/>
        <v>13.933333333333334</v>
      </c>
      <c r="D11" s="32">
        <f t="shared" si="1"/>
        <v>2.09</v>
      </c>
    </row>
    <row r="12" spans="1:9" x14ac:dyDescent="0.35">
      <c r="A12" s="7" t="s">
        <v>112</v>
      </c>
      <c r="B12" s="10">
        <f>0.0005</f>
        <v>5.0000000000000001E-4</v>
      </c>
      <c r="C12" s="31">
        <f t="shared" si="0"/>
        <v>56.000000000000007</v>
      </c>
      <c r="D12" s="33">
        <f t="shared" si="1"/>
        <v>2.8000000000000004E-2</v>
      </c>
    </row>
    <row r="13" spans="1:9" x14ac:dyDescent="0.35">
      <c r="A13" s="7" t="s">
        <v>111</v>
      </c>
      <c r="B13" s="10">
        <f>0.001</f>
        <v>1E-3</v>
      </c>
      <c r="C13" s="31">
        <f t="shared" si="0"/>
        <v>4.9800000000000004</v>
      </c>
      <c r="D13" s="33">
        <f t="shared" si="1"/>
        <v>4.9800000000000009E-3</v>
      </c>
    </row>
    <row r="14" spans="1:9" x14ac:dyDescent="0.35">
      <c r="A14" s="7" t="s">
        <v>136</v>
      </c>
      <c r="B14" s="10">
        <f>0.0005</f>
        <v>5.0000000000000001E-4</v>
      </c>
      <c r="C14" s="31">
        <f t="shared" si="0"/>
        <v>94.199999999999989</v>
      </c>
      <c r="D14" s="33">
        <f t="shared" si="1"/>
        <v>4.7099999999999996E-2</v>
      </c>
    </row>
    <row r="15" spans="1:9" x14ac:dyDescent="0.35">
      <c r="A15" s="7" t="s">
        <v>327</v>
      </c>
      <c r="B15" s="87">
        <v>7.0000000000000007E-2</v>
      </c>
      <c r="C15" s="31">
        <f t="shared" si="0"/>
        <v>10.749999999999998</v>
      </c>
      <c r="D15" s="33">
        <f t="shared" si="1"/>
        <v>0.75249999999999995</v>
      </c>
    </row>
    <row r="16" spans="1:9" x14ac:dyDescent="0.35">
      <c r="A16" s="13" t="s">
        <v>48</v>
      </c>
      <c r="B16" s="13"/>
      <c r="C16" s="13"/>
      <c r="D16" s="34">
        <f>SUM(D6:D15)</f>
        <v>5.3081942857142863</v>
      </c>
    </row>
    <row r="17" spans="1:10" x14ac:dyDescent="0.35">
      <c r="A17" s="34" t="str">
        <f>"Coût par portion ("&amp;ROUND(C20*1000,0)&amp;"g)"</f>
        <v>Coût par portion (0g)</v>
      </c>
      <c r="B17" s="13"/>
      <c r="C17" s="13"/>
      <c r="D17" s="34">
        <f>IF(E20=0,0,D16/E20)</f>
        <v>1.3270485714285716</v>
      </c>
    </row>
    <row r="19" spans="1:10" ht="43.5" x14ac:dyDescent="0.35">
      <c r="A19" s="2" t="s">
        <v>90</v>
      </c>
      <c r="B19" s="28" t="s">
        <v>91</v>
      </c>
      <c r="C19" s="28" t="s">
        <v>94</v>
      </c>
      <c r="D19" s="28" t="s">
        <v>92</v>
      </c>
      <c r="E19" s="28" t="s">
        <v>95</v>
      </c>
    </row>
    <row r="20" spans="1:10" x14ac:dyDescent="0.35">
      <c r="A20" s="7" t="s">
        <v>93</v>
      </c>
      <c r="B20" s="7"/>
      <c r="C20" s="7">
        <v>0</v>
      </c>
      <c r="D20" s="30">
        <v>4</v>
      </c>
      <c r="E20" s="35">
        <f>TRUNC(D20)</f>
        <v>4</v>
      </c>
    </row>
    <row r="21" spans="1:10" s="38" customFormat="1" x14ac:dyDescent="0.35">
      <c r="A21" s="60"/>
      <c r="B21" s="60"/>
      <c r="C21" s="60"/>
      <c r="D21" s="64"/>
      <c r="E21" s="60"/>
    </row>
    <row r="22" spans="1:10" s="38" customFormat="1" x14ac:dyDescent="0.35">
      <c r="A22" s="71" t="s">
        <v>277</v>
      </c>
      <c r="B22" s="69"/>
      <c r="C22" s="69"/>
      <c r="D22" s="70"/>
      <c r="E22" s="69"/>
      <c r="F22" s="67"/>
      <c r="G22" s="67"/>
      <c r="H22" s="67"/>
    </row>
    <row r="23" spans="1:10" s="38" customFormat="1" x14ac:dyDescent="0.35">
      <c r="A23" s="60"/>
      <c r="B23" s="60"/>
      <c r="C23" s="60"/>
      <c r="D23" s="64"/>
      <c r="E23" s="60"/>
    </row>
    <row r="24" spans="1:10" s="38" customFormat="1" x14ac:dyDescent="0.35">
      <c r="A24" s="16" t="s">
        <v>274</v>
      </c>
      <c r="B24" s="2" t="s">
        <v>267</v>
      </c>
      <c r="C24" s="2" t="s">
        <v>268</v>
      </c>
      <c r="D24" s="2" t="s">
        <v>269</v>
      </c>
      <c r="E24"/>
    </row>
    <row r="25" spans="1:10" s="38" customFormat="1" x14ac:dyDescent="0.35">
      <c r="A25" s="7" t="s">
        <v>270</v>
      </c>
      <c r="B25" s="78">
        <v>8</v>
      </c>
      <c r="C25" s="24">
        <f>D17</f>
        <v>1.3270485714285716</v>
      </c>
      <c r="D25" s="35">
        <f>C25*B25</f>
        <v>10.616388571428573</v>
      </c>
      <c r="E25"/>
      <c r="G25" s="144"/>
    </row>
    <row r="26" spans="1:10" s="38" customFormat="1" x14ac:dyDescent="0.35">
      <c r="A26" s="7" t="s">
        <v>271</v>
      </c>
      <c r="B26" s="78">
        <v>4</v>
      </c>
      <c r="C26" s="24">
        <f>C25</f>
        <v>1.3270485714285716</v>
      </c>
      <c r="D26" s="35">
        <f>C26*B26</f>
        <v>5.3081942857142863</v>
      </c>
      <c r="E26"/>
      <c r="F26"/>
    </row>
    <row r="27" spans="1:10" s="38" customFormat="1" x14ac:dyDescent="0.35">
      <c r="A27" s="7" t="s">
        <v>272</v>
      </c>
      <c r="B27" s="35">
        <f>B25-B26</f>
        <v>4</v>
      </c>
      <c r="C27" s="66">
        <f>(D27/B27)*90%</f>
        <v>2.388687428571429</v>
      </c>
      <c r="D27" s="35">
        <f>D25</f>
        <v>10.616388571428573</v>
      </c>
      <c r="E27"/>
      <c r="F27" s="83"/>
      <c r="G27"/>
      <c r="H27"/>
    </row>
    <row r="28" spans="1:10" s="38" customFormat="1" x14ac:dyDescent="0.35">
      <c r="A28" s="60"/>
      <c r="B28" s="60"/>
      <c r="C28" s="60"/>
      <c r="D28" s="64"/>
      <c r="E28" s="60"/>
    </row>
    <row r="29" spans="1:10" x14ac:dyDescent="0.35">
      <c r="A29" s="16" t="s">
        <v>275</v>
      </c>
      <c r="B29" s="50" t="s">
        <v>235</v>
      </c>
      <c r="C29" s="45">
        <v>1</v>
      </c>
      <c r="D29" s="45">
        <v>2</v>
      </c>
      <c r="E29" s="45">
        <v>3</v>
      </c>
      <c r="F29" s="45">
        <v>4</v>
      </c>
      <c r="G29" s="46">
        <v>5</v>
      </c>
      <c r="H29" s="46">
        <v>6</v>
      </c>
      <c r="I29" s="46">
        <v>7</v>
      </c>
      <c r="J29" s="46">
        <v>8</v>
      </c>
    </row>
    <row r="30" spans="1:10" x14ac:dyDescent="0.35">
      <c r="A30" s="17" t="s">
        <v>51</v>
      </c>
      <c r="B30" s="53"/>
      <c r="C30" s="24">
        <f>$C$27*C29</f>
        <v>2.388687428571429</v>
      </c>
      <c r="D30" s="24">
        <f t="shared" ref="D30:H30" si="2">$C$27*D29</f>
        <v>4.777374857142858</v>
      </c>
      <c r="E30" s="24">
        <f t="shared" si="2"/>
        <v>7.1660622857142871</v>
      </c>
      <c r="F30" s="24">
        <f t="shared" si="2"/>
        <v>9.5547497142857161</v>
      </c>
      <c r="G30" s="24">
        <f t="shared" si="2"/>
        <v>11.943437142857146</v>
      </c>
      <c r="H30" s="24">
        <f t="shared" si="2"/>
        <v>14.332124571428574</v>
      </c>
      <c r="I30" s="24">
        <f t="shared" ref="I30:J30" si="3">$C$27*I29</f>
        <v>16.720812000000002</v>
      </c>
      <c r="J30" s="24">
        <f t="shared" si="3"/>
        <v>19.109499428571432</v>
      </c>
    </row>
    <row r="31" spans="1:10" x14ac:dyDescent="0.35">
      <c r="A31" s="16" t="s">
        <v>391</v>
      </c>
      <c r="B31" s="54">
        <v>1</v>
      </c>
      <c r="C31" s="24">
        <f>(($C$30+$B$31)+$C$52)*C29</f>
        <v>3.5140935185714293</v>
      </c>
      <c r="D31" s="24">
        <f t="shared" ref="D31:J31" si="4">(($C$30+$B$31)+$C$52)*D29</f>
        <v>7.0281870371428585</v>
      </c>
      <c r="E31" s="24">
        <f t="shared" si="4"/>
        <v>10.542280555714289</v>
      </c>
      <c r="F31" s="24">
        <f t="shared" si="4"/>
        <v>14.056374074285717</v>
      </c>
      <c r="G31" s="24">
        <f t="shared" si="4"/>
        <v>17.570467592857145</v>
      </c>
      <c r="H31" s="24">
        <f t="shared" si="4"/>
        <v>21.084561111428577</v>
      </c>
      <c r="I31" s="24">
        <f t="shared" si="4"/>
        <v>24.598654630000006</v>
      </c>
      <c r="J31" s="24">
        <f t="shared" si="4"/>
        <v>28.112748148571434</v>
      </c>
    </row>
    <row r="32" spans="1:10" x14ac:dyDescent="0.35">
      <c r="A32" s="55" t="s">
        <v>380</v>
      </c>
      <c r="B32" s="56"/>
      <c r="C32" s="34">
        <f>C31+(C31*5.5%)</f>
        <v>3.7073686620928576</v>
      </c>
      <c r="D32" s="34">
        <f t="shared" ref="D32:J32" si="5">D31+(D31*5.5%)</f>
        <v>7.4147373241857153</v>
      </c>
      <c r="E32" s="34">
        <f t="shared" si="5"/>
        <v>11.122105986278575</v>
      </c>
      <c r="F32" s="34">
        <f t="shared" si="5"/>
        <v>14.829474648371431</v>
      </c>
      <c r="G32" s="34">
        <f t="shared" si="5"/>
        <v>18.536843310464288</v>
      </c>
      <c r="H32" s="34">
        <f t="shared" si="5"/>
        <v>22.244211972557149</v>
      </c>
      <c r="I32" s="34">
        <f t="shared" si="5"/>
        <v>25.951580634650007</v>
      </c>
      <c r="J32" s="34">
        <f t="shared" si="5"/>
        <v>29.658949296742861</v>
      </c>
    </row>
    <row r="33" spans="1:10" s="38" customFormat="1" x14ac:dyDescent="0.35">
      <c r="A33" s="49" t="s">
        <v>233</v>
      </c>
      <c r="B33" s="15"/>
      <c r="C33" s="15"/>
      <c r="D33" s="15"/>
      <c r="E33" s="15"/>
      <c r="F33" s="15"/>
      <c r="G33" s="15"/>
    </row>
    <row r="34" spans="1:10" x14ac:dyDescent="0.35">
      <c r="A34" s="15"/>
      <c r="B34" s="14"/>
      <c r="C34" s="14"/>
      <c r="D34" s="14"/>
      <c r="E34" s="14"/>
    </row>
    <row r="35" spans="1:10" x14ac:dyDescent="0.35">
      <c r="A35" s="16" t="s">
        <v>388</v>
      </c>
      <c r="B35" s="56"/>
      <c r="C35" s="47">
        <v>1</v>
      </c>
      <c r="D35" s="47">
        <v>2</v>
      </c>
      <c r="E35" s="47">
        <v>3</v>
      </c>
      <c r="F35" s="47">
        <v>4</v>
      </c>
      <c r="G35" s="48">
        <v>5</v>
      </c>
      <c r="H35" s="48">
        <v>6</v>
      </c>
      <c r="I35" s="48">
        <v>7</v>
      </c>
      <c r="J35" s="48">
        <v>8</v>
      </c>
    </row>
    <row r="36" spans="1:10" x14ac:dyDescent="0.35">
      <c r="A36" s="17" t="s">
        <v>52</v>
      </c>
      <c r="B36" s="56"/>
      <c r="C36" s="24">
        <f>C30-($C$25*C35)</f>
        <v>1.0616388571428574</v>
      </c>
      <c r="D36" s="24">
        <f t="shared" ref="D36:H36" si="6">D30-($C$25*D35)</f>
        <v>2.1232777142857149</v>
      </c>
      <c r="E36" s="24">
        <f t="shared" si="6"/>
        <v>3.1849165714285723</v>
      </c>
      <c r="F36" s="24">
        <f t="shared" si="6"/>
        <v>4.2465554285714298</v>
      </c>
      <c r="G36" s="24">
        <f t="shared" si="6"/>
        <v>5.3081942857142881</v>
      </c>
      <c r="H36" s="24">
        <f t="shared" si="6"/>
        <v>6.3698331428571446</v>
      </c>
      <c r="I36" s="24">
        <f t="shared" ref="I36:J36" si="7">I30-($C$25*I35)</f>
        <v>7.4314720000000012</v>
      </c>
      <c r="J36" s="24">
        <f t="shared" si="7"/>
        <v>8.4931108571428595</v>
      </c>
    </row>
    <row r="37" spans="1:10" x14ac:dyDescent="0.35">
      <c r="A37" s="17" t="s">
        <v>53</v>
      </c>
      <c r="B37" s="56"/>
      <c r="C37" s="24">
        <f>C31-C30</f>
        <v>1.1254060900000002</v>
      </c>
      <c r="D37" s="24">
        <f t="shared" ref="D37:H37" si="8">D31-D30</f>
        <v>2.2508121800000005</v>
      </c>
      <c r="E37" s="24">
        <f t="shared" si="8"/>
        <v>3.3762182700000016</v>
      </c>
      <c r="F37" s="24">
        <f t="shared" si="8"/>
        <v>4.501624360000001</v>
      </c>
      <c r="G37" s="24">
        <f t="shared" si="8"/>
        <v>5.6270304499999995</v>
      </c>
      <c r="H37" s="24">
        <f t="shared" si="8"/>
        <v>6.7524365400000033</v>
      </c>
      <c r="I37" s="24">
        <f t="shared" ref="I37:J37" si="9">I31-I30</f>
        <v>7.8778426300000035</v>
      </c>
      <c r="J37" s="24">
        <f t="shared" si="9"/>
        <v>9.003248720000002</v>
      </c>
    </row>
    <row r="38" spans="1:10" s="38" customFormat="1" x14ac:dyDescent="0.35">
      <c r="A38" s="49" t="s">
        <v>234</v>
      </c>
      <c r="B38" s="15"/>
      <c r="C38" s="15"/>
      <c r="D38" s="15"/>
      <c r="E38" s="15"/>
      <c r="F38" s="15"/>
    </row>
    <row r="40" spans="1:10" x14ac:dyDescent="0.35">
      <c r="A40" s="2" t="s">
        <v>236</v>
      </c>
      <c r="B40" s="56"/>
      <c r="C40" s="47">
        <v>1</v>
      </c>
      <c r="D40" s="47">
        <v>2</v>
      </c>
      <c r="E40" s="47">
        <v>3</v>
      </c>
      <c r="F40" s="47">
        <v>4</v>
      </c>
      <c r="G40" s="48">
        <v>5</v>
      </c>
      <c r="H40" s="48">
        <v>6</v>
      </c>
      <c r="I40" s="48">
        <v>7</v>
      </c>
      <c r="J40" s="48">
        <v>8</v>
      </c>
    </row>
    <row r="41" spans="1:10" x14ac:dyDescent="0.35">
      <c r="A41" s="7" t="s">
        <v>238</v>
      </c>
      <c r="B41" s="56"/>
      <c r="C41" s="59">
        <f>IF($D$25=0,0,(C30)/$D$25)</f>
        <v>0.22500000000000001</v>
      </c>
      <c r="D41" s="59">
        <f t="shared" ref="D41:H41" si="10">IF($D$25=0,0,(D30)/$D$25)</f>
        <v>0.45</v>
      </c>
      <c r="E41" s="59">
        <f t="shared" si="10"/>
        <v>0.67500000000000004</v>
      </c>
      <c r="F41" s="59">
        <f>IF($D$25=0,0,(F30)/$D$25)</f>
        <v>0.9</v>
      </c>
      <c r="G41" s="59">
        <f t="shared" si="10"/>
        <v>1.1250000000000002</v>
      </c>
      <c r="H41" s="59">
        <f t="shared" si="10"/>
        <v>1.35</v>
      </c>
      <c r="I41" s="59">
        <f t="shared" ref="I41:J41" si="11">IF($D$25=0,0,(I30)/$D$25)</f>
        <v>1.575</v>
      </c>
      <c r="J41" s="59">
        <f t="shared" si="11"/>
        <v>1.8</v>
      </c>
    </row>
    <row r="42" spans="1:10" x14ac:dyDescent="0.35">
      <c r="A42" s="7" t="s">
        <v>383</v>
      </c>
      <c r="B42" s="56"/>
      <c r="C42" s="24">
        <f>C37</f>
        <v>1.1254060900000002</v>
      </c>
      <c r="D42" s="24">
        <f t="shared" ref="D42:H42" si="12">D37</f>
        <v>2.2508121800000005</v>
      </c>
      <c r="E42" s="24">
        <f t="shared" si="12"/>
        <v>3.3762182700000016</v>
      </c>
      <c r="F42" s="24">
        <f t="shared" si="12"/>
        <v>4.501624360000001</v>
      </c>
      <c r="G42" s="24">
        <f t="shared" si="12"/>
        <v>5.6270304499999995</v>
      </c>
      <c r="H42" s="24">
        <f t="shared" si="12"/>
        <v>6.7524365400000033</v>
      </c>
      <c r="I42" s="24">
        <f t="shared" ref="I42:J42" si="13">I37</f>
        <v>7.8778426300000035</v>
      </c>
      <c r="J42" s="24">
        <f t="shared" si="13"/>
        <v>9.003248720000002</v>
      </c>
    </row>
    <row r="43" spans="1:10" s="60" customFormat="1" x14ac:dyDescent="0.35">
      <c r="B43" s="57"/>
      <c r="C43" s="15"/>
      <c r="D43" s="15"/>
      <c r="E43" s="15"/>
      <c r="F43" s="15"/>
      <c r="G43" s="15"/>
      <c r="H43" s="15"/>
      <c r="I43" s="15"/>
      <c r="J43" s="15"/>
    </row>
    <row r="44" spans="1:10" s="60" customFormat="1" x14ac:dyDescent="0.35">
      <c r="A44" s="71" t="s">
        <v>384</v>
      </c>
      <c r="B44" s="76"/>
      <c r="C44" s="111"/>
      <c r="D44" s="111"/>
      <c r="E44" s="111"/>
      <c r="F44" s="111"/>
      <c r="G44" s="111"/>
      <c r="H44" s="111"/>
      <c r="I44" s="111"/>
      <c r="J44" s="111"/>
    </row>
    <row r="45" spans="1:10" s="60" customFormat="1" x14ac:dyDescent="0.35">
      <c r="B45" s="57"/>
      <c r="C45" s="15"/>
      <c r="D45" s="15"/>
      <c r="E45" s="15"/>
      <c r="F45" s="15"/>
      <c r="G45" s="15"/>
      <c r="H45" s="15"/>
      <c r="I45" s="15"/>
      <c r="J45" s="15"/>
    </row>
    <row r="46" spans="1:10" s="60" customFormat="1" ht="43.5" x14ac:dyDescent="0.35">
      <c r="A46" s="109" t="s">
        <v>385</v>
      </c>
      <c r="B46" s="112">
        <v>0.15</v>
      </c>
      <c r="C46" s="48">
        <v>1</v>
      </c>
      <c r="D46" s="48">
        <v>2</v>
      </c>
      <c r="E46" s="48">
        <v>3</v>
      </c>
      <c r="F46" s="48">
        <v>4</v>
      </c>
      <c r="G46" s="48">
        <v>5</v>
      </c>
      <c r="H46" s="48">
        <v>6</v>
      </c>
      <c r="I46" s="48">
        <v>7</v>
      </c>
      <c r="J46" s="48">
        <v>8</v>
      </c>
    </row>
    <row r="47" spans="1:10" s="60" customFormat="1" x14ac:dyDescent="0.35">
      <c r="A47" s="11" t="s">
        <v>382</v>
      </c>
      <c r="B47" s="110"/>
      <c r="C47" s="24">
        <f>($C$25-$C$25*5.5%)*C46</f>
        <v>1.2540609000000003</v>
      </c>
      <c r="D47" s="24">
        <f>($C$25-$C$25*5.5%)*D46</f>
        <v>2.5081218000000005</v>
      </c>
      <c r="E47" s="24">
        <f t="shared" ref="E47:J47" si="14">($C$25-$C$25*5.5%)*E46</f>
        <v>3.7621827000000008</v>
      </c>
      <c r="F47" s="24">
        <f t="shared" si="14"/>
        <v>5.016243600000001</v>
      </c>
      <c r="G47" s="24">
        <f t="shared" si="14"/>
        <v>6.2703045000000017</v>
      </c>
      <c r="H47" s="24">
        <f t="shared" si="14"/>
        <v>7.5243654000000015</v>
      </c>
      <c r="I47" s="24">
        <f t="shared" si="14"/>
        <v>8.7784263000000013</v>
      </c>
      <c r="J47" s="24">
        <f t="shared" si="14"/>
        <v>10.032487200000002</v>
      </c>
    </row>
    <row r="48" spans="1:10" s="60" customFormat="1" x14ac:dyDescent="0.35">
      <c r="A48" s="11" t="s">
        <v>281</v>
      </c>
      <c r="B48" s="16"/>
      <c r="C48" s="115">
        <f>C47*$B$46</f>
        <v>0.18810913500000004</v>
      </c>
      <c r="D48" s="115">
        <f t="shared" ref="D48:J48" si="15">D47*$B$46</f>
        <v>0.37621827000000008</v>
      </c>
      <c r="E48" s="115">
        <f t="shared" si="15"/>
        <v>0.56432740500000012</v>
      </c>
      <c r="F48" s="115">
        <f t="shared" si="15"/>
        <v>0.75243654000000015</v>
      </c>
      <c r="G48" s="115">
        <f t="shared" si="15"/>
        <v>0.94054567500000019</v>
      </c>
      <c r="H48" s="115">
        <f t="shared" si="15"/>
        <v>1.1286548100000002</v>
      </c>
      <c r="I48" s="115">
        <f t="shared" si="15"/>
        <v>1.3167639450000002</v>
      </c>
      <c r="J48" s="115">
        <f t="shared" si="15"/>
        <v>1.5048730800000003</v>
      </c>
    </row>
    <row r="49" spans="1:10" s="60" customFormat="1" x14ac:dyDescent="0.35">
      <c r="B49" s="57"/>
      <c r="C49" s="114"/>
      <c r="D49" s="114"/>
      <c r="E49" s="114"/>
      <c r="F49" s="114"/>
      <c r="G49" s="114"/>
      <c r="H49" s="114"/>
      <c r="I49" s="114"/>
      <c r="J49" s="114"/>
    </row>
    <row r="50" spans="1:10" s="60" customFormat="1" ht="43.5" x14ac:dyDescent="0.35">
      <c r="A50" s="109" t="s">
        <v>394</v>
      </c>
      <c r="B50" s="112">
        <v>0.1</v>
      </c>
      <c r="C50" s="48">
        <v>1</v>
      </c>
      <c r="D50" s="48">
        <v>2</v>
      </c>
      <c r="E50" s="48">
        <v>3</v>
      </c>
      <c r="F50" s="48">
        <v>4</v>
      </c>
      <c r="G50" s="48">
        <v>5</v>
      </c>
      <c r="H50" s="48">
        <v>6</v>
      </c>
      <c r="I50" s="48">
        <v>7</v>
      </c>
      <c r="J50" s="48">
        <v>8</v>
      </c>
    </row>
    <row r="51" spans="1:10" s="60" customFormat="1" x14ac:dyDescent="0.35">
      <c r="A51" s="11" t="s">
        <v>382</v>
      </c>
      <c r="B51" s="16"/>
      <c r="C51" s="24">
        <f>($C$25-$C$25*5.5%)*C50</f>
        <v>1.2540609000000003</v>
      </c>
      <c r="D51" s="24">
        <f>($C$25-$C$25*5.5%)*D50</f>
        <v>2.5081218000000005</v>
      </c>
      <c r="E51" s="24">
        <f t="shared" ref="E51" si="16">($C$25-$C$25*5.5%)*E50</f>
        <v>3.7621827000000008</v>
      </c>
      <c r="F51" s="24">
        <f t="shared" ref="F51" si="17">($C$25-$C$25*5.5%)*F50</f>
        <v>5.016243600000001</v>
      </c>
      <c r="G51" s="24">
        <f t="shared" ref="G51" si="18">($C$25-$C$25*5.5%)*G50</f>
        <v>6.2703045000000017</v>
      </c>
      <c r="H51" s="24">
        <f t="shared" ref="H51" si="19">($C$25-$C$25*5.5%)*H50</f>
        <v>7.5243654000000015</v>
      </c>
      <c r="I51" s="24">
        <f t="shared" ref="I51" si="20">($C$25-$C$25*5.5%)*I50</f>
        <v>8.7784263000000013</v>
      </c>
      <c r="J51" s="24">
        <f t="shared" ref="J51" si="21">($C$25-$C$25*5.5%)*J50</f>
        <v>10.032487200000002</v>
      </c>
    </row>
    <row r="52" spans="1:10" s="60" customFormat="1" x14ac:dyDescent="0.35">
      <c r="A52" s="11" t="s">
        <v>386</v>
      </c>
      <c r="B52" s="16"/>
      <c r="C52" s="113">
        <f>C51*$B$50</f>
        <v>0.12540609000000003</v>
      </c>
      <c r="D52" s="113">
        <f t="shared" ref="D52:J52" si="22">D51*$B$50</f>
        <v>0.25081218000000005</v>
      </c>
      <c r="E52" s="113">
        <f t="shared" si="22"/>
        <v>0.37621827000000008</v>
      </c>
      <c r="F52" s="113">
        <f t="shared" si="22"/>
        <v>0.5016243600000001</v>
      </c>
      <c r="G52" s="113">
        <f t="shared" si="22"/>
        <v>0.62703045000000024</v>
      </c>
      <c r="H52" s="113">
        <f t="shared" si="22"/>
        <v>0.75243654000000015</v>
      </c>
      <c r="I52" s="113">
        <f t="shared" si="22"/>
        <v>0.87784263000000018</v>
      </c>
      <c r="J52" s="113">
        <f t="shared" si="22"/>
        <v>1.0032487200000002</v>
      </c>
    </row>
    <row r="53" spans="1:10" s="60" customFormat="1" x14ac:dyDescent="0.35">
      <c r="A53" s="11" t="s">
        <v>387</v>
      </c>
      <c r="B53" s="16"/>
      <c r="C53" s="113">
        <f>C42-C52</f>
        <v>1.0000000000000002</v>
      </c>
      <c r="D53" s="113">
        <f t="shared" ref="D53:J53" si="23">D42-D52</f>
        <v>2.0000000000000004</v>
      </c>
      <c r="E53" s="113">
        <f t="shared" si="23"/>
        <v>3.0000000000000018</v>
      </c>
      <c r="F53" s="113">
        <f t="shared" si="23"/>
        <v>4.0000000000000009</v>
      </c>
      <c r="G53" s="113">
        <f t="shared" si="23"/>
        <v>4.9999999999999991</v>
      </c>
      <c r="H53" s="113">
        <f t="shared" si="23"/>
        <v>6.0000000000000036</v>
      </c>
      <c r="I53" s="113">
        <f t="shared" si="23"/>
        <v>7.0000000000000036</v>
      </c>
      <c r="J53" s="113">
        <f t="shared" si="23"/>
        <v>8.0000000000000018</v>
      </c>
    </row>
    <row r="55" spans="1:10" x14ac:dyDescent="0.35">
      <c r="A55" s="68" t="s">
        <v>416</v>
      </c>
      <c r="B55" s="67"/>
      <c r="C55" s="67"/>
      <c r="D55" s="67"/>
      <c r="E55" s="67"/>
      <c r="F55" s="67"/>
      <c r="G55" s="67"/>
      <c r="H55" s="67"/>
      <c r="I55" s="67"/>
      <c r="J55" s="67"/>
    </row>
    <row r="57" spans="1:10" x14ac:dyDescent="0.35">
      <c r="A57" s="117" t="s">
        <v>389</v>
      </c>
      <c r="B57" s="118"/>
    </row>
    <row r="58" spans="1:10" x14ac:dyDescent="0.35">
      <c r="A58" s="116" t="s">
        <v>393</v>
      </c>
      <c r="B58" s="119">
        <f>J48</f>
        <v>1.5048730800000003</v>
      </c>
    </row>
    <row r="59" spans="1:10" x14ac:dyDescent="0.35">
      <c r="A59" s="42" t="s">
        <v>392</v>
      </c>
      <c r="B59" s="91">
        <f>F42</f>
        <v>4.501624360000001</v>
      </c>
    </row>
    <row r="60" spans="1:10" x14ac:dyDescent="0.35">
      <c r="A60" s="120" t="s">
        <v>48</v>
      </c>
      <c r="B60" s="13">
        <f>SUM(B58:B59)</f>
        <v>6.0064974400000013</v>
      </c>
    </row>
    <row r="62" spans="1:10" x14ac:dyDescent="0.35">
      <c r="A62" s="117" t="s">
        <v>390</v>
      </c>
      <c r="B62" s="118"/>
    </row>
    <row r="63" spans="1:10" x14ac:dyDescent="0.35">
      <c r="A63" s="116" t="s">
        <v>393</v>
      </c>
      <c r="B63" s="119">
        <f>J48</f>
        <v>1.5048730800000003</v>
      </c>
    </row>
    <row r="64" spans="1:10" x14ac:dyDescent="0.35">
      <c r="A64" s="42" t="s">
        <v>392</v>
      </c>
      <c r="B64" s="91">
        <f>F53</f>
        <v>4.0000000000000009</v>
      </c>
    </row>
    <row r="65" spans="1:10" x14ac:dyDescent="0.35">
      <c r="A65" s="120" t="s">
        <v>48</v>
      </c>
      <c r="B65" s="13">
        <f>SUM(B63:B64)</f>
        <v>5.5048730800000012</v>
      </c>
    </row>
    <row r="67" spans="1:10" x14ac:dyDescent="0.35">
      <c r="A67" s="68" t="s">
        <v>422</v>
      </c>
      <c r="B67" s="67"/>
      <c r="C67" s="67"/>
      <c r="D67" s="67"/>
      <c r="E67" s="67"/>
      <c r="F67" s="67"/>
      <c r="G67" s="67"/>
      <c r="H67" s="67"/>
      <c r="I67" s="67"/>
      <c r="J67" s="67"/>
    </row>
    <row r="69" spans="1:10" x14ac:dyDescent="0.35">
      <c r="A69" s="117" t="s">
        <v>389</v>
      </c>
      <c r="B69" s="118"/>
    </row>
    <row r="70" spans="1:10" x14ac:dyDescent="0.35">
      <c r="A70" s="42" t="s">
        <v>405</v>
      </c>
      <c r="B70" s="91">
        <f>D25</f>
        <v>10.616388571428573</v>
      </c>
    </row>
    <row r="71" spans="1:10" x14ac:dyDescent="0.35">
      <c r="A71" s="116" t="s">
        <v>393</v>
      </c>
      <c r="B71" s="119">
        <f>0-J48</f>
        <v>-1.5048730800000003</v>
      </c>
    </row>
    <row r="72" spans="1:10" x14ac:dyDescent="0.35">
      <c r="A72" s="120" t="s">
        <v>48</v>
      </c>
      <c r="B72" s="13">
        <f>SUM(B70:B71)</f>
        <v>9.1115154914285732</v>
      </c>
    </row>
    <row r="74" spans="1:10" x14ac:dyDescent="0.35">
      <c r="A74" s="133" t="s">
        <v>390</v>
      </c>
      <c r="B74" s="134"/>
    </row>
    <row r="75" spans="1:10" x14ac:dyDescent="0.35">
      <c r="A75" s="42" t="s">
        <v>405</v>
      </c>
      <c r="B75" s="91">
        <f>D25</f>
        <v>10.616388571428573</v>
      </c>
    </row>
    <row r="76" spans="1:10" x14ac:dyDescent="0.35">
      <c r="A76" s="42" t="s">
        <v>393</v>
      </c>
      <c r="B76" s="91">
        <f>0-J48</f>
        <v>-1.5048730800000003</v>
      </c>
    </row>
    <row r="77" spans="1:10" x14ac:dyDescent="0.35">
      <c r="A77" s="42" t="s">
        <v>406</v>
      </c>
      <c r="B77" s="91">
        <f>F52</f>
        <v>0.5016243600000001</v>
      </c>
    </row>
    <row r="78" spans="1:10" x14ac:dyDescent="0.35">
      <c r="A78" s="120" t="s">
        <v>48</v>
      </c>
      <c r="B78" s="13">
        <f>SUM(B75:B77)</f>
        <v>9.6131398514285742</v>
      </c>
    </row>
    <row r="79" spans="1:10" s="40" customFormat="1" x14ac:dyDescent="0.35">
      <c r="A79" s="121"/>
      <c r="B79" s="122"/>
    </row>
    <row r="80" spans="1:10" s="40" customFormat="1" x14ac:dyDescent="0.35">
      <c r="A80" s="121"/>
      <c r="B80" s="122"/>
    </row>
    <row r="81" spans="1:2" s="40" customFormat="1" x14ac:dyDescent="0.35">
      <c r="A81" s="37" t="s">
        <v>96</v>
      </c>
      <c r="B81" s="122"/>
    </row>
    <row r="82" spans="1:2" s="40" customFormat="1" x14ac:dyDescent="0.35">
      <c r="A82" s="121"/>
      <c r="B82" s="122"/>
    </row>
    <row r="83" spans="1:2" s="40" customFormat="1" x14ac:dyDescent="0.35">
      <c r="A83" s="121"/>
      <c r="B83" s="122"/>
    </row>
    <row r="84" spans="1:2" x14ac:dyDescent="0.35">
      <c r="A84" s="2" t="s">
        <v>67</v>
      </c>
      <c r="B84" s="7"/>
    </row>
    <row r="85" spans="1:2" x14ac:dyDescent="0.35">
      <c r="A85" s="7" t="s">
        <v>116</v>
      </c>
      <c r="B85" s="7"/>
    </row>
    <row r="86" spans="1:2" x14ac:dyDescent="0.35">
      <c r="A86" s="7" t="s">
        <v>140</v>
      </c>
      <c r="B86" s="7"/>
    </row>
    <row r="88" spans="1:2" x14ac:dyDescent="0.35">
      <c r="A88" s="39" t="s">
        <v>115</v>
      </c>
      <c r="B88" s="40"/>
    </row>
  </sheetData>
  <phoneticPr fontId="5" type="noConversion"/>
  <conditionalFormatting sqref="C41:J41">
    <cfRule type="cellIs" dxfId="184" priority="9" operator="greaterThanOrEqual">
      <formula>1</formula>
    </cfRule>
    <cfRule type="cellIs" dxfId="183" priority="10" operator="between">
      <formula>0.5</formula>
      <formula>1</formula>
    </cfRule>
  </conditionalFormatting>
  <conditionalFormatting sqref="C42:J42">
    <cfRule type="cellIs" dxfId="182" priority="5" operator="between">
      <formula>2</formula>
      <formula>4</formula>
    </cfRule>
    <cfRule type="cellIs" dxfId="181" priority="6" operator="greaterThanOrEqual">
      <formula>4</formula>
    </cfRule>
  </conditionalFormatting>
  <conditionalFormatting sqref="C52:J52">
    <cfRule type="cellIs" dxfId="180" priority="4" operator="greaterThanOrEqual">
      <formula>$J$48</formula>
    </cfRule>
  </conditionalFormatting>
  <conditionalFormatting sqref="C53:J53">
    <cfRule type="cellIs" dxfId="179" priority="2" operator="between">
      <formula>2</formula>
      <formula>4</formula>
    </cfRule>
    <cfRule type="cellIs" dxfId="178" priority="3" operator="greaterThanOrEqual">
      <formula>4</formula>
    </cfRule>
  </conditionalFormatting>
  <conditionalFormatting sqref="C48:J48">
    <cfRule type="cellIs" dxfId="177" priority="1" operator="greaterThanOrEqual">
      <formula>0.5</formula>
    </cfRule>
  </conditionalFormatting>
  <dataValidations count="1">
    <dataValidation type="list" allowBlank="1" showInputMessage="1" showErrorMessage="1" sqref="F6 A6:A15">
      <formula1>Ingrédients_recettes</formula1>
    </dataValidation>
  </dataValidations>
  <pageMargins left="0.7" right="0.7" top="0.75" bottom="0.75" header="0.3" footer="0.3"/>
  <pageSetup paperSize="9" scale="59" orientation="portrait" horizontalDpi="4294967293" verticalDpi="4294967293" r:id="rId1"/>
  <extLst>
    <ext xmlns:mx="http://schemas.microsoft.com/office/mac/excel/2008/main" uri="{64002731-A6B0-56B0-2670-7721B7C09600}">
      <mx:PLV Mode="0" OnePage="0" WScale="10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1"/>
  <sheetViews>
    <sheetView workbookViewId="0">
      <selection activeCell="F25" sqref="F25"/>
    </sheetView>
  </sheetViews>
  <sheetFormatPr baseColWidth="10" defaultRowHeight="14.5" x14ac:dyDescent="0.35"/>
  <cols>
    <col min="1" max="1" width="34.7265625" customWidth="1"/>
    <col min="2" max="2" width="14.6328125" bestFit="1" customWidth="1"/>
    <col min="3" max="3" width="13.1796875" bestFit="1" customWidth="1"/>
    <col min="4" max="4" width="14.36328125" bestFit="1" customWidth="1"/>
    <col min="5" max="5" width="10.1796875" bestFit="1" customWidth="1"/>
    <col min="6" max="6" width="10" customWidth="1"/>
    <col min="7" max="7" width="9.81640625" customWidth="1"/>
    <col min="11" max="11" width="12.6328125" bestFit="1" customWidth="1"/>
  </cols>
  <sheetData>
    <row r="1" spans="1:11" x14ac:dyDescent="0.35">
      <c r="A1" s="43" t="s">
        <v>114</v>
      </c>
      <c r="B1" s="44"/>
      <c r="C1" s="44"/>
      <c r="D1" s="44"/>
      <c r="E1" s="63"/>
      <c r="F1" s="63"/>
      <c r="G1" s="63"/>
      <c r="H1" s="63"/>
      <c r="J1" s="7" t="s">
        <v>283</v>
      </c>
      <c r="K1" s="7"/>
    </row>
    <row r="2" spans="1:11" s="38" customFormat="1" x14ac:dyDescent="0.35">
      <c r="A2" s="73"/>
      <c r="B2" s="74"/>
      <c r="C2" s="74"/>
      <c r="D2" s="74"/>
      <c r="J2" s="11" t="s">
        <v>281</v>
      </c>
      <c r="K2" s="11" t="s">
        <v>284</v>
      </c>
    </row>
    <row r="3" spans="1:11" s="38" customFormat="1" x14ac:dyDescent="0.35">
      <c r="A3" s="68" t="s">
        <v>276</v>
      </c>
      <c r="B3" s="75"/>
      <c r="C3" s="75"/>
      <c r="D3" s="75"/>
      <c r="E3" s="67"/>
      <c r="F3" s="67"/>
      <c r="G3" s="67"/>
      <c r="H3" s="67"/>
    </row>
    <row r="4" spans="1:11" s="38" customFormat="1" x14ac:dyDescent="0.35">
      <c r="A4" s="73"/>
      <c r="B4" s="74"/>
      <c r="C4" s="74"/>
      <c r="D4" s="74"/>
    </row>
    <row r="5" spans="1:11" x14ac:dyDescent="0.35">
      <c r="A5" s="2" t="s">
        <v>68</v>
      </c>
      <c r="B5" s="2" t="s">
        <v>41</v>
      </c>
      <c r="C5" s="2" t="s">
        <v>42</v>
      </c>
      <c r="D5" s="2" t="s">
        <v>40</v>
      </c>
      <c r="F5" s="58"/>
    </row>
    <row r="6" spans="1:11" x14ac:dyDescent="0.35">
      <c r="A6" s="7" t="s">
        <v>132</v>
      </c>
      <c r="B6" s="6">
        <v>0.36499999999999999</v>
      </c>
      <c r="C6" s="31">
        <f t="shared" ref="C6:C13" si="0">IF(ISERROR(VLOOKUP(A6,Tableau_produits,6,FALSE)),0,VLOOKUP(A6,Tableau_produits,6,FALSE))</f>
        <v>0</v>
      </c>
      <c r="D6" s="32">
        <f>C6*B6</f>
        <v>0</v>
      </c>
    </row>
    <row r="7" spans="1:11" x14ac:dyDescent="0.35">
      <c r="A7" s="7" t="s">
        <v>108</v>
      </c>
      <c r="B7" s="6">
        <v>0.03</v>
      </c>
      <c r="C7" s="31">
        <f t="shared" si="0"/>
        <v>7.8533333333333326</v>
      </c>
      <c r="D7" s="32">
        <f>C7*B7</f>
        <v>0.23559999999999998</v>
      </c>
    </row>
    <row r="8" spans="1:11" x14ac:dyDescent="0.35">
      <c r="A8" s="7" t="s">
        <v>133</v>
      </c>
      <c r="B8" s="6">
        <v>7.0000000000000001E-3</v>
      </c>
      <c r="C8" s="31">
        <f t="shared" si="0"/>
        <v>6.8</v>
      </c>
      <c r="D8" s="32">
        <f t="shared" ref="D8:D13" si="1">C8*B8</f>
        <v>4.7599999999999996E-2</v>
      </c>
    </row>
    <row r="9" spans="1:11" x14ac:dyDescent="0.35">
      <c r="A9" s="7" t="s">
        <v>135</v>
      </c>
      <c r="B9" s="6">
        <v>7.4999999999999997E-2</v>
      </c>
      <c r="C9" s="31">
        <f t="shared" si="0"/>
        <v>18.333333333333336</v>
      </c>
      <c r="D9" s="32">
        <f t="shared" si="1"/>
        <v>1.3750000000000002</v>
      </c>
    </row>
    <row r="10" spans="1:11" x14ac:dyDescent="0.35">
      <c r="A10" s="7" t="s">
        <v>136</v>
      </c>
      <c r="B10" s="10">
        <v>5.0000000000000001E-4</v>
      </c>
      <c r="C10" s="31">
        <f t="shared" si="0"/>
        <v>94.199999999999989</v>
      </c>
      <c r="D10" s="32">
        <f t="shared" si="1"/>
        <v>4.7099999999999996E-2</v>
      </c>
    </row>
    <row r="11" spans="1:11" x14ac:dyDescent="0.35">
      <c r="A11" s="7" t="s">
        <v>112</v>
      </c>
      <c r="B11" s="22">
        <v>1E-3</v>
      </c>
      <c r="C11" s="31">
        <f t="shared" si="0"/>
        <v>56.000000000000007</v>
      </c>
      <c r="D11" s="32">
        <f t="shared" si="1"/>
        <v>5.6000000000000008E-2</v>
      </c>
    </row>
    <row r="12" spans="1:11" x14ac:dyDescent="0.35">
      <c r="A12" s="7" t="s">
        <v>137</v>
      </c>
      <c r="B12" s="21">
        <v>0.01</v>
      </c>
      <c r="C12" s="31">
        <f t="shared" si="0"/>
        <v>5.3166666666666655</v>
      </c>
      <c r="D12" s="33">
        <f t="shared" si="1"/>
        <v>5.3166666666666654E-2</v>
      </c>
    </row>
    <row r="13" spans="1:11" x14ac:dyDescent="0.35">
      <c r="A13" s="7" t="s">
        <v>139</v>
      </c>
      <c r="B13" s="21">
        <v>0.5</v>
      </c>
      <c r="C13" s="31">
        <f t="shared" si="0"/>
        <v>4.4000000000000004</v>
      </c>
      <c r="D13" s="33">
        <f t="shared" si="1"/>
        <v>2.2000000000000002</v>
      </c>
    </row>
    <row r="14" spans="1:11" x14ac:dyDescent="0.35">
      <c r="A14" s="13" t="s">
        <v>48</v>
      </c>
      <c r="B14" s="13"/>
      <c r="C14" s="13"/>
      <c r="D14" s="34">
        <f>SUM(D6:D13)</f>
        <v>4.0144666666666673</v>
      </c>
    </row>
    <row r="15" spans="1:11" x14ac:dyDescent="0.35">
      <c r="A15" s="34" t="str">
        <f>"Coût par portion ("&amp;ROUND(C18*1000,0)&amp;"g)"</f>
        <v>Coût par portion (167g)</v>
      </c>
      <c r="B15" s="13"/>
      <c r="C15" s="13"/>
      <c r="D15" s="34">
        <f>IF(E18=0,0,D14/E18)</f>
        <v>1.3381555555555558</v>
      </c>
    </row>
    <row r="17" spans="1:11" ht="43.5" x14ac:dyDescent="0.35">
      <c r="A17" s="2" t="s">
        <v>90</v>
      </c>
      <c r="B17" s="28" t="s">
        <v>91</v>
      </c>
      <c r="C17" s="28" t="s">
        <v>94</v>
      </c>
      <c r="D17" s="28" t="s">
        <v>92</v>
      </c>
      <c r="E17" s="28" t="s">
        <v>95</v>
      </c>
    </row>
    <row r="18" spans="1:11" x14ac:dyDescent="0.35">
      <c r="A18" s="7" t="s">
        <v>93</v>
      </c>
      <c r="B18" s="7">
        <v>0.5</v>
      </c>
      <c r="C18" s="6">
        <f>B18/3</f>
        <v>0.16666666666666666</v>
      </c>
      <c r="D18" s="30">
        <f>IF(C18=0,0,B18/C18)</f>
        <v>3</v>
      </c>
      <c r="E18" s="35">
        <f>TRUNC(D18)</f>
        <v>3</v>
      </c>
    </row>
    <row r="19" spans="1:11" s="38" customFormat="1" x14ac:dyDescent="0.35">
      <c r="A19" s="60"/>
      <c r="B19" s="60"/>
      <c r="C19" s="80"/>
      <c r="D19" s="64"/>
      <c r="E19" s="60"/>
    </row>
    <row r="20" spans="1:11" s="38" customFormat="1" x14ac:dyDescent="0.35">
      <c r="A20" s="71" t="s">
        <v>277</v>
      </c>
      <c r="B20" s="69"/>
      <c r="C20" s="81"/>
      <c r="D20" s="70"/>
      <c r="E20" s="69"/>
      <c r="F20" s="67"/>
      <c r="G20" s="67"/>
      <c r="H20" s="67"/>
    </row>
    <row r="21" spans="1:11" s="38" customFormat="1" x14ac:dyDescent="0.35">
      <c r="A21" s="60"/>
      <c r="B21" s="60"/>
      <c r="C21" s="80"/>
      <c r="D21" s="64"/>
      <c r="E21" s="60"/>
    </row>
    <row r="22" spans="1:11" s="38" customFormat="1" x14ac:dyDescent="0.35">
      <c r="A22" s="16" t="s">
        <v>273</v>
      </c>
      <c r="B22" s="2" t="s">
        <v>267</v>
      </c>
      <c r="C22" s="2" t="s">
        <v>268</v>
      </c>
      <c r="D22" s="2" t="s">
        <v>269</v>
      </c>
      <c r="E22" s="60"/>
    </row>
    <row r="23" spans="1:11" s="38" customFormat="1" x14ac:dyDescent="0.35">
      <c r="A23" s="7" t="s">
        <v>278</v>
      </c>
      <c r="B23" s="78">
        <v>8</v>
      </c>
      <c r="C23" s="24">
        <f>D15</f>
        <v>1.3381555555555558</v>
      </c>
      <c r="D23" s="35">
        <f>C23*B23</f>
        <v>10.705244444444446</v>
      </c>
      <c r="E23" s="60"/>
    </row>
    <row r="24" spans="1:11" s="38" customFormat="1" x14ac:dyDescent="0.35">
      <c r="A24" s="7" t="s">
        <v>279</v>
      </c>
      <c r="B24" s="79">
        <v>4</v>
      </c>
      <c r="C24" s="24">
        <f>C23</f>
        <v>1.3381555555555558</v>
      </c>
      <c r="D24" s="35">
        <f>C24*B24</f>
        <v>5.3526222222222231</v>
      </c>
      <c r="E24" s="60"/>
    </row>
    <row r="25" spans="1:11" s="38" customFormat="1" x14ac:dyDescent="0.35">
      <c r="A25" s="7" t="s">
        <v>280</v>
      </c>
      <c r="B25" s="72">
        <f>B23-B24</f>
        <v>4</v>
      </c>
      <c r="C25" s="66">
        <f>(D25/B25)*90%</f>
        <v>2.4086800000000004</v>
      </c>
      <c r="D25" s="35">
        <f>D23</f>
        <v>10.705244444444446</v>
      </c>
      <c r="E25" s="60"/>
      <c r="F25" s="83"/>
    </row>
    <row r="26" spans="1:11" s="38" customFormat="1" x14ac:dyDescent="0.35"/>
    <row r="27" spans="1:11" x14ac:dyDescent="0.35">
      <c r="A27" s="16" t="s">
        <v>275</v>
      </c>
      <c r="B27" s="50" t="s">
        <v>235</v>
      </c>
      <c r="C27" s="2">
        <v>1</v>
      </c>
      <c r="D27" s="2">
        <v>2</v>
      </c>
      <c r="E27" s="2">
        <v>3</v>
      </c>
      <c r="F27" s="2">
        <v>4</v>
      </c>
      <c r="G27" s="23">
        <v>5</v>
      </c>
      <c r="H27" s="23">
        <v>6</v>
      </c>
      <c r="I27" s="23">
        <v>7</v>
      </c>
      <c r="J27" s="23">
        <v>8</v>
      </c>
    </row>
    <row r="28" spans="1:11" x14ac:dyDescent="0.35">
      <c r="A28" s="17" t="s">
        <v>51</v>
      </c>
      <c r="B28" s="53"/>
      <c r="C28" s="24">
        <f>$C$25*C27</f>
        <v>2.4086800000000004</v>
      </c>
      <c r="D28" s="24">
        <f t="shared" ref="D28:J28" si="2">$C$25*D27</f>
        <v>4.8173600000000008</v>
      </c>
      <c r="E28" s="24">
        <f t="shared" si="2"/>
        <v>7.2260400000000011</v>
      </c>
      <c r="F28" s="24">
        <f t="shared" si="2"/>
        <v>9.6347200000000015</v>
      </c>
      <c r="G28" s="24">
        <f t="shared" si="2"/>
        <v>12.043400000000002</v>
      </c>
      <c r="H28" s="24">
        <f t="shared" si="2"/>
        <v>14.452080000000002</v>
      </c>
      <c r="I28" s="24">
        <f t="shared" si="2"/>
        <v>16.860760000000003</v>
      </c>
      <c r="J28" s="24">
        <f t="shared" si="2"/>
        <v>19.269440000000003</v>
      </c>
    </row>
    <row r="29" spans="1:11" x14ac:dyDescent="0.35">
      <c r="A29" s="16" t="s">
        <v>391</v>
      </c>
      <c r="B29" s="54">
        <v>1</v>
      </c>
      <c r="C29" s="24">
        <f>(($C$28+$B$29)+$C$50)*C27</f>
        <v>3.5351357000000005</v>
      </c>
      <c r="D29" s="24">
        <f t="shared" ref="D29:J29" si="3">(($C$28+$B$29)+$C$50)*D27</f>
        <v>7.0702714000000011</v>
      </c>
      <c r="E29" s="24">
        <f>(($C$28+$B$29)+$C$50)*E27</f>
        <v>10.605407100000001</v>
      </c>
      <c r="F29" s="24">
        <f t="shared" si="3"/>
        <v>14.140542800000002</v>
      </c>
      <c r="G29" s="24">
        <f t="shared" si="3"/>
        <v>17.675678500000004</v>
      </c>
      <c r="H29" s="24">
        <f>(($C$28+$B$29)+$C$50)*H27</f>
        <v>21.210814200000002</v>
      </c>
      <c r="I29" s="24">
        <f t="shared" si="3"/>
        <v>24.745949900000003</v>
      </c>
      <c r="J29" s="24">
        <f t="shared" si="3"/>
        <v>28.281085600000004</v>
      </c>
    </row>
    <row r="30" spans="1:11" x14ac:dyDescent="0.35">
      <c r="A30" s="55" t="s">
        <v>380</v>
      </c>
      <c r="B30" s="56"/>
      <c r="C30" s="34">
        <f>C29+(C29*5.5%)</f>
        <v>3.7295681635000006</v>
      </c>
      <c r="D30" s="34">
        <f t="shared" ref="D30:J30" si="4">D29+(D29*5.5%)</f>
        <v>7.4591363270000013</v>
      </c>
      <c r="E30" s="34">
        <f t="shared" si="4"/>
        <v>11.188704490500001</v>
      </c>
      <c r="F30" s="34">
        <f t="shared" si="4"/>
        <v>14.918272654000003</v>
      </c>
      <c r="G30" s="34">
        <f t="shared" si="4"/>
        <v>18.647840817500004</v>
      </c>
      <c r="H30" s="34">
        <f t="shared" si="4"/>
        <v>22.377408981000002</v>
      </c>
      <c r="I30" s="34">
        <f t="shared" si="4"/>
        <v>26.106977144500004</v>
      </c>
      <c r="J30" s="34">
        <f t="shared" si="4"/>
        <v>29.836545308000005</v>
      </c>
    </row>
    <row r="31" spans="1:11" s="38" customFormat="1" x14ac:dyDescent="0.35">
      <c r="A31" s="49" t="s">
        <v>233</v>
      </c>
      <c r="B31" s="49"/>
      <c r="C31" s="15"/>
      <c r="D31" s="15"/>
      <c r="E31" s="15"/>
      <c r="F31" s="15"/>
      <c r="G31" s="15"/>
      <c r="H31" s="15"/>
      <c r="I31" s="15"/>
      <c r="J31" s="15"/>
      <c r="K31" s="15"/>
    </row>
    <row r="32" spans="1:11" x14ac:dyDescent="0.35">
      <c r="A32" s="15"/>
      <c r="B32" s="15"/>
      <c r="C32" s="14"/>
      <c r="D32" s="14"/>
      <c r="E32" s="14"/>
      <c r="F32" s="14"/>
    </row>
    <row r="33" spans="1:10" x14ac:dyDescent="0.35">
      <c r="A33" s="16" t="s">
        <v>49</v>
      </c>
      <c r="B33" s="51"/>
      <c r="C33" s="18">
        <v>1</v>
      </c>
      <c r="D33" s="18">
        <v>2</v>
      </c>
      <c r="E33" s="18">
        <v>3</v>
      </c>
      <c r="F33" s="18">
        <v>4</v>
      </c>
      <c r="G33" s="25">
        <v>5</v>
      </c>
      <c r="H33" s="25">
        <v>6</v>
      </c>
      <c r="I33" s="25">
        <v>7</v>
      </c>
      <c r="J33" s="25">
        <v>8</v>
      </c>
    </row>
    <row r="34" spans="1:10" x14ac:dyDescent="0.35">
      <c r="A34" s="17" t="s">
        <v>52</v>
      </c>
      <c r="B34" s="52"/>
      <c r="C34" s="24">
        <f>C28-($C$23*C33)</f>
        <v>1.0705244444444446</v>
      </c>
      <c r="D34" s="24">
        <f t="shared" ref="D34:H34" si="5">D28-($C$23*D33)</f>
        <v>2.1410488888888892</v>
      </c>
      <c r="E34" s="24">
        <f t="shared" si="5"/>
        <v>3.2115733333333338</v>
      </c>
      <c r="F34" s="24">
        <f t="shared" si="5"/>
        <v>4.2820977777777784</v>
      </c>
      <c r="G34" s="24">
        <f t="shared" si="5"/>
        <v>5.3526222222222231</v>
      </c>
      <c r="H34" s="24">
        <f t="shared" si="5"/>
        <v>6.4231466666666677</v>
      </c>
      <c r="I34" s="24">
        <f t="shared" ref="I34:J34" si="6">I28-($C$23*I33)</f>
        <v>7.4936711111111123</v>
      </c>
      <c r="J34" s="24">
        <f t="shared" si="6"/>
        <v>8.5641955555555569</v>
      </c>
    </row>
    <row r="35" spans="1:10" x14ac:dyDescent="0.35">
      <c r="A35" s="17" t="s">
        <v>53</v>
      </c>
      <c r="B35" s="52"/>
      <c r="C35" s="24">
        <f>C29-C28</f>
        <v>1.1264557000000002</v>
      </c>
      <c r="D35" s="24">
        <f t="shared" ref="D35:G35" si="7">D29-D28</f>
        <v>2.2529114000000003</v>
      </c>
      <c r="E35" s="24">
        <f t="shared" si="7"/>
        <v>3.3793670999999996</v>
      </c>
      <c r="F35" s="24">
        <f t="shared" si="7"/>
        <v>4.5058228000000007</v>
      </c>
      <c r="G35" s="24">
        <f t="shared" si="7"/>
        <v>5.6322785000000017</v>
      </c>
      <c r="H35" s="24">
        <f t="shared" ref="H35:J35" si="8">H29-H28</f>
        <v>6.7587341999999992</v>
      </c>
      <c r="I35" s="24">
        <f t="shared" si="8"/>
        <v>7.8851899000000003</v>
      </c>
      <c r="J35" s="24">
        <f t="shared" si="8"/>
        <v>9.0116456000000014</v>
      </c>
    </row>
    <row r="36" spans="1:10" x14ac:dyDescent="0.35">
      <c r="A36" s="49" t="s">
        <v>234</v>
      </c>
    </row>
    <row r="37" spans="1:10" x14ac:dyDescent="0.35">
      <c r="A37" s="49"/>
    </row>
    <row r="38" spans="1:10" x14ac:dyDescent="0.35">
      <c r="A38" s="2" t="s">
        <v>236</v>
      </c>
      <c r="B38" s="56"/>
      <c r="C38" s="47">
        <v>1</v>
      </c>
      <c r="D38" s="47">
        <v>2</v>
      </c>
      <c r="E38" s="47">
        <v>3</v>
      </c>
      <c r="F38" s="47">
        <v>4</v>
      </c>
      <c r="G38" s="48">
        <v>5</v>
      </c>
      <c r="H38" s="48">
        <v>6</v>
      </c>
      <c r="I38" s="48">
        <v>7</v>
      </c>
      <c r="J38" s="48">
        <v>8</v>
      </c>
    </row>
    <row r="39" spans="1:10" x14ac:dyDescent="0.35">
      <c r="A39" s="7" t="s">
        <v>238</v>
      </c>
      <c r="B39" s="56"/>
      <c r="C39" s="59">
        <f>IF($D$23=0,0,(C28)/$D$23)</f>
        <v>0.22500000000000001</v>
      </c>
      <c r="D39" s="59">
        <f t="shared" ref="D39:H39" si="9">IF($D$23=0,0,(D28)/$D$23)</f>
        <v>0.45</v>
      </c>
      <c r="E39" s="59">
        <f t="shared" si="9"/>
        <v>0.67500000000000004</v>
      </c>
      <c r="F39" s="59">
        <f t="shared" si="9"/>
        <v>0.9</v>
      </c>
      <c r="G39" s="59">
        <f t="shared" si="9"/>
        <v>1.125</v>
      </c>
      <c r="H39" s="59">
        <f t="shared" si="9"/>
        <v>1.35</v>
      </c>
      <c r="I39" s="59">
        <f t="shared" ref="I39:J39" si="10">IF($D$23=0,0,(I28)/$D$23)</f>
        <v>1.575</v>
      </c>
      <c r="J39" s="59">
        <f t="shared" si="10"/>
        <v>1.8</v>
      </c>
    </row>
    <row r="40" spans="1:10" x14ac:dyDescent="0.35">
      <c r="A40" s="7" t="s">
        <v>237</v>
      </c>
      <c r="B40" s="56"/>
      <c r="C40" s="24">
        <f>C35</f>
        <v>1.1264557000000002</v>
      </c>
      <c r="D40" s="24">
        <f t="shared" ref="D40:H40" si="11">D35</f>
        <v>2.2529114000000003</v>
      </c>
      <c r="E40" s="24">
        <f t="shared" si="11"/>
        <v>3.3793670999999996</v>
      </c>
      <c r="F40" s="24">
        <f t="shared" si="11"/>
        <v>4.5058228000000007</v>
      </c>
      <c r="G40" s="24">
        <f t="shared" si="11"/>
        <v>5.6322785000000017</v>
      </c>
      <c r="H40" s="24">
        <f t="shared" si="11"/>
        <v>6.7587341999999992</v>
      </c>
      <c r="I40" s="24">
        <f t="shared" ref="I40:J40" si="12">I35</f>
        <v>7.8851899000000003</v>
      </c>
      <c r="J40" s="24">
        <f t="shared" si="12"/>
        <v>9.0116456000000014</v>
      </c>
    </row>
    <row r="41" spans="1:10" x14ac:dyDescent="0.35">
      <c r="A41" s="49"/>
    </row>
    <row r="42" spans="1:10" s="60" customFormat="1" x14ac:dyDescent="0.35">
      <c r="A42" s="71" t="s">
        <v>384</v>
      </c>
      <c r="B42" s="76"/>
      <c r="C42" s="111"/>
      <c r="D42" s="111"/>
      <c r="E42" s="111"/>
      <c r="F42" s="111"/>
      <c r="G42" s="111"/>
      <c r="H42" s="111"/>
      <c r="I42" s="111"/>
      <c r="J42" s="111"/>
    </row>
    <row r="43" spans="1:10" s="60" customFormat="1" x14ac:dyDescent="0.35">
      <c r="B43" s="57"/>
      <c r="C43" s="15"/>
      <c r="D43" s="15"/>
      <c r="E43" s="15"/>
      <c r="F43" s="15"/>
      <c r="G43" s="15"/>
      <c r="H43" s="15"/>
      <c r="I43" s="15"/>
      <c r="J43" s="15"/>
    </row>
    <row r="44" spans="1:10" s="60" customFormat="1" ht="43.5" x14ac:dyDescent="0.35">
      <c r="A44" s="109" t="s">
        <v>385</v>
      </c>
      <c r="B44" s="112">
        <v>0.15</v>
      </c>
      <c r="C44" s="48">
        <v>1</v>
      </c>
      <c r="D44" s="48">
        <v>2</v>
      </c>
      <c r="E44" s="48">
        <v>3</v>
      </c>
      <c r="F44" s="48">
        <v>4</v>
      </c>
      <c r="G44" s="48">
        <v>5</v>
      </c>
      <c r="H44" s="48">
        <v>6</v>
      </c>
      <c r="I44" s="48">
        <v>7</v>
      </c>
      <c r="J44" s="48">
        <v>8</v>
      </c>
    </row>
    <row r="45" spans="1:10" s="60" customFormat="1" x14ac:dyDescent="0.35">
      <c r="A45" s="11" t="s">
        <v>382</v>
      </c>
      <c r="B45" s="110"/>
      <c r="C45" s="24">
        <f>($C$23-$C$23*5.5%)*C44</f>
        <v>1.2645570000000002</v>
      </c>
      <c r="D45" s="24">
        <f t="shared" ref="D45:J45" si="13">($C$23-$C$23*5.5%)*D44</f>
        <v>2.5291140000000003</v>
      </c>
      <c r="E45" s="24">
        <f t="shared" si="13"/>
        <v>3.7936710000000007</v>
      </c>
      <c r="F45" s="24">
        <f t="shared" si="13"/>
        <v>5.0582280000000006</v>
      </c>
      <c r="G45" s="24">
        <f t="shared" si="13"/>
        <v>6.3227850000000005</v>
      </c>
      <c r="H45" s="24">
        <f t="shared" si="13"/>
        <v>7.5873420000000014</v>
      </c>
      <c r="I45" s="24">
        <f t="shared" si="13"/>
        <v>8.8518990000000013</v>
      </c>
      <c r="J45" s="24">
        <f t="shared" si="13"/>
        <v>10.116456000000001</v>
      </c>
    </row>
    <row r="46" spans="1:10" s="60" customFormat="1" x14ac:dyDescent="0.35">
      <c r="A46" s="11" t="s">
        <v>281</v>
      </c>
      <c r="B46" s="16"/>
      <c r="C46" s="115">
        <f>C45*$B$44</f>
        <v>0.18968355000000001</v>
      </c>
      <c r="D46" s="115">
        <f t="shared" ref="D46:J46" si="14">D45*$B$44</f>
        <v>0.37936710000000001</v>
      </c>
      <c r="E46" s="115">
        <f t="shared" si="14"/>
        <v>0.5690506500000001</v>
      </c>
      <c r="F46" s="115">
        <f t="shared" si="14"/>
        <v>0.75873420000000003</v>
      </c>
      <c r="G46" s="115">
        <f t="shared" si="14"/>
        <v>0.94841775000000006</v>
      </c>
      <c r="H46" s="115">
        <f t="shared" si="14"/>
        <v>1.1381013000000002</v>
      </c>
      <c r="I46" s="115">
        <f t="shared" si="14"/>
        <v>1.3277848500000002</v>
      </c>
      <c r="J46" s="115">
        <f t="shared" si="14"/>
        <v>1.5174684000000001</v>
      </c>
    </row>
    <row r="47" spans="1:10" s="60" customFormat="1" x14ac:dyDescent="0.35">
      <c r="B47" s="57"/>
      <c r="C47" s="114"/>
      <c r="D47" s="114"/>
      <c r="E47" s="114"/>
      <c r="F47" s="114"/>
      <c r="G47" s="114"/>
      <c r="H47" s="114"/>
      <c r="I47" s="114"/>
      <c r="J47" s="114"/>
    </row>
    <row r="48" spans="1:10" s="60" customFormat="1" ht="43.5" x14ac:dyDescent="0.35">
      <c r="A48" s="109" t="s">
        <v>394</v>
      </c>
      <c r="B48" s="112">
        <v>0.1</v>
      </c>
      <c r="C48" s="48">
        <v>1</v>
      </c>
      <c r="D48" s="48">
        <v>2</v>
      </c>
      <c r="E48" s="48">
        <v>3</v>
      </c>
      <c r="F48" s="48">
        <v>4</v>
      </c>
      <c r="G48" s="48">
        <v>5</v>
      </c>
      <c r="H48" s="48">
        <v>6</v>
      </c>
      <c r="I48" s="48">
        <v>7</v>
      </c>
      <c r="J48" s="48">
        <v>8</v>
      </c>
    </row>
    <row r="49" spans="1:10" s="60" customFormat="1" x14ac:dyDescent="0.35">
      <c r="A49" s="11" t="s">
        <v>382</v>
      </c>
      <c r="B49" s="16"/>
      <c r="C49" s="24">
        <f>($C$23-$C$23*5.5%)*C48</f>
        <v>1.2645570000000002</v>
      </c>
      <c r="D49" s="24">
        <f t="shared" ref="D49:J49" si="15">($C$23-$C$23*5.5%)*D48</f>
        <v>2.5291140000000003</v>
      </c>
      <c r="E49" s="24">
        <f t="shared" si="15"/>
        <v>3.7936710000000007</v>
      </c>
      <c r="F49" s="24">
        <f t="shared" si="15"/>
        <v>5.0582280000000006</v>
      </c>
      <c r="G49" s="24">
        <f t="shared" si="15"/>
        <v>6.3227850000000005</v>
      </c>
      <c r="H49" s="24">
        <f t="shared" si="15"/>
        <v>7.5873420000000014</v>
      </c>
      <c r="I49" s="24">
        <f t="shared" si="15"/>
        <v>8.8518990000000013</v>
      </c>
      <c r="J49" s="24">
        <f t="shared" si="15"/>
        <v>10.116456000000001</v>
      </c>
    </row>
    <row r="50" spans="1:10" s="60" customFormat="1" x14ac:dyDescent="0.35">
      <c r="A50" s="11" t="s">
        <v>386</v>
      </c>
      <c r="B50" s="16"/>
      <c r="C50" s="113">
        <f>C49*$B$48</f>
        <v>0.12645570000000003</v>
      </c>
      <c r="D50" s="113">
        <f t="shared" ref="D50:J50" si="16">D49*$B$48</f>
        <v>0.25291140000000006</v>
      </c>
      <c r="E50" s="113">
        <f t="shared" si="16"/>
        <v>0.37936710000000007</v>
      </c>
      <c r="F50" s="113">
        <f t="shared" si="16"/>
        <v>0.50582280000000013</v>
      </c>
      <c r="G50" s="113">
        <f t="shared" si="16"/>
        <v>0.63227850000000008</v>
      </c>
      <c r="H50" s="113">
        <f t="shared" si="16"/>
        <v>0.75873420000000014</v>
      </c>
      <c r="I50" s="113">
        <f t="shared" si="16"/>
        <v>0.8851899000000002</v>
      </c>
      <c r="J50" s="113">
        <f t="shared" si="16"/>
        <v>1.0116456000000003</v>
      </c>
    </row>
    <row r="51" spans="1:10" s="60" customFormat="1" x14ac:dyDescent="0.35">
      <c r="A51" s="11" t="s">
        <v>387</v>
      </c>
      <c r="B51" s="16"/>
      <c r="C51" s="113">
        <f>C40-C50</f>
        <v>1.0000000000000002</v>
      </c>
      <c r="D51" s="113">
        <f t="shared" ref="D51:J51" si="17">D40-D50</f>
        <v>2.0000000000000004</v>
      </c>
      <c r="E51" s="113">
        <f t="shared" si="17"/>
        <v>2.9999999999999996</v>
      </c>
      <c r="F51" s="113">
        <f t="shared" si="17"/>
        <v>4.0000000000000009</v>
      </c>
      <c r="G51" s="113">
        <f t="shared" si="17"/>
        <v>5.0000000000000018</v>
      </c>
      <c r="H51" s="113">
        <f t="shared" si="17"/>
        <v>5.9999999999999991</v>
      </c>
      <c r="I51" s="113">
        <f t="shared" si="17"/>
        <v>7</v>
      </c>
      <c r="J51" s="113">
        <f t="shared" si="17"/>
        <v>8.0000000000000018</v>
      </c>
    </row>
    <row r="53" spans="1:10" x14ac:dyDescent="0.35">
      <c r="A53" s="68" t="s">
        <v>416</v>
      </c>
      <c r="B53" s="67"/>
      <c r="C53" s="67"/>
      <c r="D53" s="67"/>
      <c r="E53" s="67"/>
      <c r="F53" s="67"/>
      <c r="G53" s="67"/>
      <c r="H53" s="67"/>
      <c r="I53" s="67"/>
      <c r="J53" s="67"/>
    </row>
    <row r="55" spans="1:10" x14ac:dyDescent="0.35">
      <c r="A55" s="117" t="s">
        <v>389</v>
      </c>
      <c r="B55" s="118"/>
    </row>
    <row r="56" spans="1:10" x14ac:dyDescent="0.35">
      <c r="A56" s="116" t="s">
        <v>393</v>
      </c>
      <c r="B56" s="119">
        <f>J46</f>
        <v>1.5174684000000001</v>
      </c>
    </row>
    <row r="57" spans="1:10" x14ac:dyDescent="0.35">
      <c r="A57" s="42" t="s">
        <v>392</v>
      </c>
      <c r="B57" s="91">
        <f>F40</f>
        <v>4.5058228000000007</v>
      </c>
    </row>
    <row r="58" spans="1:10" x14ac:dyDescent="0.35">
      <c r="A58" s="120" t="s">
        <v>48</v>
      </c>
      <c r="B58" s="13">
        <f>SUM(B56:B57)</f>
        <v>6.023291200000001</v>
      </c>
    </row>
    <row r="60" spans="1:10" x14ac:dyDescent="0.35">
      <c r="A60" s="117" t="s">
        <v>390</v>
      </c>
      <c r="B60" s="118"/>
    </row>
    <row r="61" spans="1:10" x14ac:dyDescent="0.35">
      <c r="A61" s="116" t="s">
        <v>393</v>
      </c>
      <c r="B61" s="119">
        <f>J46</f>
        <v>1.5174684000000001</v>
      </c>
    </row>
    <row r="62" spans="1:10" x14ac:dyDescent="0.35">
      <c r="A62" s="42" t="s">
        <v>392</v>
      </c>
      <c r="B62" s="91">
        <f>F51</f>
        <v>4.0000000000000009</v>
      </c>
    </row>
    <row r="63" spans="1:10" x14ac:dyDescent="0.35">
      <c r="A63" s="120" t="s">
        <v>48</v>
      </c>
      <c r="B63" s="13">
        <f>SUM(B61:B62)</f>
        <v>5.5174684000000012</v>
      </c>
    </row>
    <row r="64" spans="1:10" x14ac:dyDescent="0.35">
      <c r="A64" s="49"/>
    </row>
    <row r="65" spans="1:10" x14ac:dyDescent="0.35">
      <c r="A65" s="68" t="s">
        <v>422</v>
      </c>
      <c r="B65" s="67"/>
      <c r="C65" s="67"/>
      <c r="D65" s="67"/>
      <c r="E65" s="67"/>
      <c r="F65" s="67"/>
      <c r="G65" s="67"/>
      <c r="H65" s="67"/>
      <c r="I65" s="67"/>
      <c r="J65" s="67"/>
    </row>
    <row r="67" spans="1:10" x14ac:dyDescent="0.35">
      <c r="A67" s="117" t="s">
        <v>389</v>
      </c>
      <c r="B67" s="118"/>
    </row>
    <row r="68" spans="1:10" x14ac:dyDescent="0.35">
      <c r="A68" s="42" t="s">
        <v>405</v>
      </c>
      <c r="B68" s="91">
        <f>D23</f>
        <v>10.705244444444446</v>
      </c>
    </row>
    <row r="69" spans="1:10" x14ac:dyDescent="0.35">
      <c r="A69" s="116" t="s">
        <v>393</v>
      </c>
      <c r="B69" s="119">
        <f>0-J46</f>
        <v>-1.5174684000000001</v>
      </c>
    </row>
    <row r="70" spans="1:10" x14ac:dyDescent="0.35">
      <c r="A70" s="120" t="s">
        <v>48</v>
      </c>
      <c r="B70" s="13">
        <f>SUM(B68:B69)</f>
        <v>9.1877760444444458</v>
      </c>
    </row>
    <row r="72" spans="1:10" x14ac:dyDescent="0.35">
      <c r="A72" s="133" t="s">
        <v>390</v>
      </c>
      <c r="B72" s="134"/>
    </row>
    <row r="73" spans="1:10" x14ac:dyDescent="0.35">
      <c r="A73" s="42" t="s">
        <v>405</v>
      </c>
      <c r="B73" s="91">
        <f>D23</f>
        <v>10.705244444444446</v>
      </c>
    </row>
    <row r="74" spans="1:10" x14ac:dyDescent="0.35">
      <c r="A74" s="42" t="s">
        <v>393</v>
      </c>
      <c r="B74" s="91">
        <f>0-J46</f>
        <v>-1.5174684000000001</v>
      </c>
    </row>
    <row r="75" spans="1:10" x14ac:dyDescent="0.35">
      <c r="A75" s="42" t="s">
        <v>406</v>
      </c>
      <c r="B75" s="91">
        <f>F50</f>
        <v>0.50582280000000013</v>
      </c>
    </row>
    <row r="76" spans="1:10" x14ac:dyDescent="0.35">
      <c r="A76" s="120" t="s">
        <v>48</v>
      </c>
      <c r="B76" s="13">
        <f>SUM(B73:B75)</f>
        <v>9.6935988444444465</v>
      </c>
    </row>
    <row r="77" spans="1:10" x14ac:dyDescent="0.35">
      <c r="A77" s="121"/>
      <c r="B77" s="122"/>
    </row>
    <row r="78" spans="1:10" x14ac:dyDescent="0.35">
      <c r="A78" s="37" t="s">
        <v>96</v>
      </c>
      <c r="B78" s="38"/>
    </row>
    <row r="80" spans="1:10" x14ac:dyDescent="0.35">
      <c r="A80" s="2" t="s">
        <v>67</v>
      </c>
      <c r="B80" s="7"/>
    </row>
    <row r="81" spans="1:2" x14ac:dyDescent="0.35">
      <c r="A81" s="7" t="s">
        <v>116</v>
      </c>
      <c r="B81" s="7">
        <v>30</v>
      </c>
    </row>
    <row r="82" spans="1:2" x14ac:dyDescent="0.35">
      <c r="A82" s="7" t="s">
        <v>140</v>
      </c>
      <c r="B82" s="7">
        <v>0</v>
      </c>
    </row>
    <row r="84" spans="1:2" x14ac:dyDescent="0.35">
      <c r="A84" s="39" t="s">
        <v>115</v>
      </c>
    </row>
    <row r="86" spans="1:2" x14ac:dyDescent="0.35">
      <c r="A86" t="s">
        <v>143</v>
      </c>
    </row>
    <row r="87" spans="1:2" x14ac:dyDescent="0.35">
      <c r="A87" t="s">
        <v>141</v>
      </c>
    </row>
    <row r="88" spans="1:2" x14ac:dyDescent="0.35">
      <c r="A88" t="s">
        <v>142</v>
      </c>
    </row>
    <row r="89" spans="1:2" x14ac:dyDescent="0.35">
      <c r="A89" t="s">
        <v>147</v>
      </c>
    </row>
    <row r="90" spans="1:2" x14ac:dyDescent="0.35">
      <c r="A90" t="s">
        <v>144</v>
      </c>
    </row>
    <row r="91" spans="1:2" x14ac:dyDescent="0.35">
      <c r="A91" t="s">
        <v>145</v>
      </c>
    </row>
    <row r="92" spans="1:2" x14ac:dyDescent="0.35">
      <c r="A92" t="s">
        <v>146</v>
      </c>
    </row>
    <row r="93" spans="1:2" x14ac:dyDescent="0.35">
      <c r="A93" t="s">
        <v>148</v>
      </c>
    </row>
    <row r="95" spans="1:2" x14ac:dyDescent="0.35">
      <c r="A95" t="s">
        <v>149</v>
      </c>
    </row>
    <row r="98" spans="1:11" x14ac:dyDescent="0.35">
      <c r="A98" s="1" t="s">
        <v>129</v>
      </c>
    </row>
    <row r="100" spans="1:11" ht="46" customHeight="1" x14ac:dyDescent="0.35">
      <c r="A100" s="155" t="s">
        <v>151</v>
      </c>
      <c r="B100" s="155"/>
      <c r="C100" s="155"/>
      <c r="D100" s="155"/>
      <c r="E100" s="155"/>
      <c r="F100" s="155"/>
      <c r="G100" s="155"/>
      <c r="H100" s="155"/>
      <c r="I100" s="155"/>
      <c r="J100" s="155"/>
      <c r="K100" s="155"/>
    </row>
    <row r="101" spans="1:11" ht="30" customHeight="1" x14ac:dyDescent="0.35">
      <c r="A101" s="155" t="s">
        <v>150</v>
      </c>
      <c r="B101" s="155"/>
      <c r="C101" s="155"/>
      <c r="D101" s="155"/>
      <c r="E101" s="155"/>
      <c r="F101" s="155"/>
      <c r="G101" s="155"/>
      <c r="H101" s="155"/>
      <c r="I101" s="155"/>
      <c r="J101" s="155"/>
      <c r="K101" s="155"/>
    </row>
  </sheetData>
  <mergeCells count="2">
    <mergeCell ref="A100:K100"/>
    <mergeCell ref="A101:K101"/>
  </mergeCells>
  <phoneticPr fontId="5" type="noConversion"/>
  <conditionalFormatting sqref="C39:J39">
    <cfRule type="cellIs" dxfId="176" priority="7" operator="greaterThanOrEqual">
      <formula>1</formula>
    </cfRule>
    <cfRule type="cellIs" dxfId="175" priority="8" operator="between">
      <formula>0.5</formula>
      <formula>1</formula>
    </cfRule>
  </conditionalFormatting>
  <conditionalFormatting sqref="C40:J40">
    <cfRule type="cellIs" dxfId="174" priority="5" operator="greaterThanOrEqual">
      <formula>4</formula>
    </cfRule>
    <cfRule type="cellIs" dxfId="173" priority="6" operator="greaterThanOrEqual">
      <formula>2</formula>
    </cfRule>
  </conditionalFormatting>
  <conditionalFormatting sqref="C50:J50">
    <cfRule type="cellIs" dxfId="172" priority="4" operator="greaterThanOrEqual">
      <formula>$J$46</formula>
    </cfRule>
  </conditionalFormatting>
  <conditionalFormatting sqref="C51:J51">
    <cfRule type="cellIs" dxfId="171" priority="2" operator="between">
      <formula>2</formula>
      <formula>4</formula>
    </cfRule>
    <cfRule type="cellIs" dxfId="170" priority="3" operator="greaterThanOrEqual">
      <formula>4</formula>
    </cfRule>
  </conditionalFormatting>
  <conditionalFormatting sqref="C46:J46">
    <cfRule type="cellIs" dxfId="169" priority="1" operator="greaterThanOrEqual">
      <formula>0.5</formula>
    </cfRule>
  </conditionalFormatting>
  <dataValidations count="1">
    <dataValidation type="list" allowBlank="1" showInputMessage="1" showErrorMessage="1" sqref="F6 A6:A13">
      <formula1>Ingrédients_recettes</formula1>
    </dataValidation>
  </dataValidations>
  <pageMargins left="0.7" right="0.7" top="0.75" bottom="0.75" header="0.3" footer="0.3"/>
  <pageSetup paperSize="9" scale="54" orientation="portrait" horizontalDpi="4294967292" verticalDpi="4294967292"/>
  <extLst>
    <ext xmlns:mx="http://schemas.microsoft.com/office/mac/excel/2008/main" uri="{64002731-A6B0-56B0-2670-7721B7C09600}">
      <mx:PLV Mode="0" OnePage="0" WScale="10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5"/>
  <sheetViews>
    <sheetView workbookViewId="0">
      <selection activeCell="A11" sqref="A11:B12"/>
    </sheetView>
  </sheetViews>
  <sheetFormatPr baseColWidth="10" defaultRowHeight="14.5" x14ac:dyDescent="0.35"/>
  <cols>
    <col min="1" max="1" width="34.1796875" customWidth="1"/>
    <col min="2" max="2" width="14.6328125" bestFit="1" customWidth="1"/>
    <col min="3" max="3" width="13.1796875" bestFit="1" customWidth="1"/>
    <col min="4" max="4" width="14.36328125" bestFit="1" customWidth="1"/>
    <col min="5" max="5" width="10.1796875" bestFit="1" customWidth="1"/>
    <col min="6" max="6" width="10" customWidth="1"/>
    <col min="7" max="7" width="9.81640625" customWidth="1"/>
  </cols>
  <sheetData>
    <row r="1" spans="1:8" x14ac:dyDescent="0.35">
      <c r="A1" s="103" t="s">
        <v>377</v>
      </c>
      <c r="B1" s="104"/>
      <c r="C1" s="104"/>
      <c r="D1" s="104"/>
      <c r="E1" s="104"/>
      <c r="F1" s="104"/>
      <c r="G1" s="104"/>
      <c r="H1" s="63"/>
    </row>
    <row r="2" spans="1:8" s="38" customFormat="1" x14ac:dyDescent="0.35">
      <c r="A2" s="73"/>
      <c r="B2" s="74"/>
      <c r="C2" s="74"/>
      <c r="D2" s="74"/>
      <c r="E2" s="74"/>
      <c r="F2" s="74"/>
      <c r="G2" s="74"/>
    </row>
    <row r="3" spans="1:8" s="38" customFormat="1" x14ac:dyDescent="0.35">
      <c r="A3" s="68" t="s">
        <v>276</v>
      </c>
      <c r="B3" s="75"/>
      <c r="C3" s="75"/>
      <c r="D3" s="75"/>
      <c r="E3" s="67"/>
      <c r="F3" s="67"/>
      <c r="G3" s="67"/>
      <c r="H3" s="67"/>
    </row>
    <row r="5" spans="1:8" x14ac:dyDescent="0.35">
      <c r="A5" s="2" t="s">
        <v>68</v>
      </c>
      <c r="B5" s="2" t="s">
        <v>41</v>
      </c>
      <c r="C5" s="2" t="s">
        <v>42</v>
      </c>
      <c r="D5" s="2" t="s">
        <v>40</v>
      </c>
    </row>
    <row r="6" spans="1:8" x14ac:dyDescent="0.35">
      <c r="A6" s="7" t="s">
        <v>378</v>
      </c>
      <c r="B6" s="6">
        <v>0.5</v>
      </c>
      <c r="C6" s="31">
        <f t="shared" ref="C6:C13" si="0">IF(ISERROR(VLOOKUP(A6,Tableau_produits,6,FALSE)),0,VLOOKUP(A6,Tableau_produits,6,FALSE))</f>
        <v>15.52</v>
      </c>
      <c r="D6" s="32">
        <f>C6*B6</f>
        <v>7.76</v>
      </c>
    </row>
    <row r="7" spans="1:8" x14ac:dyDescent="0.35">
      <c r="A7" s="7" t="s">
        <v>379</v>
      </c>
      <c r="B7" s="6">
        <v>0.4</v>
      </c>
      <c r="C7" s="31">
        <f t="shared" si="0"/>
        <v>3.6249999999999996</v>
      </c>
      <c r="D7" s="32">
        <f>C7*B7</f>
        <v>1.45</v>
      </c>
    </row>
    <row r="8" spans="1:8" x14ac:dyDescent="0.35">
      <c r="A8" s="7" t="s">
        <v>137</v>
      </c>
      <c r="B8" s="6">
        <v>0.15</v>
      </c>
      <c r="C8" s="31">
        <f t="shared" si="0"/>
        <v>5.3166666666666655</v>
      </c>
      <c r="D8" s="32">
        <f t="shared" ref="D8:D13" si="1">C8*B8</f>
        <v>0.79749999999999976</v>
      </c>
    </row>
    <row r="9" spans="1:8" x14ac:dyDescent="0.35">
      <c r="A9" s="7" t="s">
        <v>108</v>
      </c>
      <c r="B9" s="6">
        <v>0.03</v>
      </c>
      <c r="C9" s="31">
        <f t="shared" si="0"/>
        <v>7.8533333333333326</v>
      </c>
      <c r="D9" s="32">
        <f t="shared" si="1"/>
        <v>0.23559999999999998</v>
      </c>
    </row>
    <row r="10" spans="1:8" x14ac:dyDescent="0.35">
      <c r="A10" s="7" t="s">
        <v>133</v>
      </c>
      <c r="B10" s="10">
        <f>0.003*3</f>
        <v>9.0000000000000011E-3</v>
      </c>
      <c r="C10" s="31">
        <f t="shared" si="0"/>
        <v>6.8</v>
      </c>
      <c r="D10" s="32">
        <f t="shared" si="1"/>
        <v>6.1200000000000004E-2</v>
      </c>
    </row>
    <row r="11" spans="1:8" x14ac:dyDescent="0.35">
      <c r="A11" s="7" t="s">
        <v>111</v>
      </c>
      <c r="B11" s="10">
        <f>0.001</f>
        <v>1E-3</v>
      </c>
      <c r="C11" s="31">
        <f t="shared" si="0"/>
        <v>4.9800000000000004</v>
      </c>
      <c r="D11" s="32">
        <f t="shared" si="1"/>
        <v>4.9800000000000009E-3</v>
      </c>
    </row>
    <row r="12" spans="1:8" x14ac:dyDescent="0.35">
      <c r="A12" s="7" t="s">
        <v>136</v>
      </c>
      <c r="B12" s="10">
        <f>0.0005</f>
        <v>5.0000000000000001E-4</v>
      </c>
      <c r="C12" s="31">
        <f t="shared" si="0"/>
        <v>94.199999999999989</v>
      </c>
      <c r="D12" s="33">
        <f t="shared" si="1"/>
        <v>4.7099999999999996E-2</v>
      </c>
    </row>
    <row r="13" spans="1:8" x14ac:dyDescent="0.35">
      <c r="A13" s="7" t="s">
        <v>224</v>
      </c>
      <c r="B13" s="21">
        <v>1E-3</v>
      </c>
      <c r="C13" s="31">
        <f t="shared" si="0"/>
        <v>85.428571428571431</v>
      </c>
      <c r="D13" s="33">
        <f t="shared" si="1"/>
        <v>8.5428571428571437E-2</v>
      </c>
    </row>
    <row r="14" spans="1:8" x14ac:dyDescent="0.35">
      <c r="A14" s="13" t="s">
        <v>48</v>
      </c>
      <c r="B14" s="13"/>
      <c r="C14" s="13"/>
      <c r="D14" s="34">
        <f>SUM(D6:D13)</f>
        <v>10.44180857142857</v>
      </c>
    </row>
    <row r="15" spans="1:8" x14ac:dyDescent="0.35">
      <c r="A15" s="34" t="str">
        <f>"Coût par portion ("&amp;ROUND(C18*1000,0)&amp;"g)"</f>
        <v>Coût par portion (0g)</v>
      </c>
      <c r="B15" s="13"/>
      <c r="C15" s="13"/>
      <c r="D15" s="34">
        <f>IF(E18=0,0,D14/E18)</f>
        <v>1.7403014285714284</v>
      </c>
    </row>
    <row r="17" spans="1:10" ht="43.5" x14ac:dyDescent="0.35">
      <c r="A17" s="2" t="s">
        <v>90</v>
      </c>
      <c r="B17" s="28" t="s">
        <v>91</v>
      </c>
      <c r="C17" s="28" t="s">
        <v>94</v>
      </c>
      <c r="D17" s="28" t="s">
        <v>92</v>
      </c>
      <c r="E17" s="28" t="s">
        <v>95</v>
      </c>
    </row>
    <row r="18" spans="1:10" x14ac:dyDescent="0.35">
      <c r="A18" s="7" t="s">
        <v>93</v>
      </c>
      <c r="B18" s="7"/>
      <c r="C18" s="7">
        <v>0</v>
      </c>
      <c r="D18" s="30">
        <v>6</v>
      </c>
      <c r="E18" s="35">
        <f>TRUNC(D18)</f>
        <v>6</v>
      </c>
    </row>
    <row r="19" spans="1:10" s="38" customFormat="1" x14ac:dyDescent="0.35">
      <c r="A19" s="60"/>
      <c r="B19" s="60"/>
      <c r="C19" s="60"/>
      <c r="D19" s="64"/>
      <c r="E19" s="60"/>
    </row>
    <row r="20" spans="1:10" s="38" customFormat="1" x14ac:dyDescent="0.35">
      <c r="A20" s="71" t="s">
        <v>277</v>
      </c>
      <c r="B20" s="69"/>
      <c r="C20" s="81"/>
      <c r="D20" s="70"/>
      <c r="E20" s="69"/>
      <c r="F20" s="67"/>
      <c r="G20" s="67"/>
      <c r="H20" s="67"/>
    </row>
    <row r="21" spans="1:10" s="38" customFormat="1" x14ac:dyDescent="0.35">
      <c r="A21" s="60"/>
      <c r="B21" s="60"/>
      <c r="C21" s="60"/>
      <c r="D21" s="64"/>
      <c r="E21" s="60"/>
    </row>
    <row r="22" spans="1:10" s="38" customFormat="1" x14ac:dyDescent="0.35">
      <c r="A22" s="16" t="s">
        <v>273</v>
      </c>
      <c r="B22" s="2" t="s">
        <v>267</v>
      </c>
      <c r="C22" s="2" t="s">
        <v>268</v>
      </c>
      <c r="D22" s="2" t="s">
        <v>269</v>
      </c>
      <c r="E22" s="60"/>
    </row>
    <row r="23" spans="1:10" s="38" customFormat="1" x14ac:dyDescent="0.35">
      <c r="A23" s="7" t="s">
        <v>278</v>
      </c>
      <c r="B23" s="78">
        <v>8</v>
      </c>
      <c r="C23" s="24">
        <f>D15</f>
        <v>1.7403014285714284</v>
      </c>
      <c r="D23" s="35">
        <f>C23*B23</f>
        <v>13.922411428571428</v>
      </c>
      <c r="E23" s="60"/>
    </row>
    <row r="24" spans="1:10" s="38" customFormat="1" x14ac:dyDescent="0.35">
      <c r="A24" s="7" t="s">
        <v>279</v>
      </c>
      <c r="B24" s="79">
        <v>4</v>
      </c>
      <c r="C24" s="24">
        <f>C23</f>
        <v>1.7403014285714284</v>
      </c>
      <c r="D24" s="35">
        <f>C24*B24</f>
        <v>6.9612057142857138</v>
      </c>
      <c r="E24" s="60"/>
    </row>
    <row r="25" spans="1:10" s="38" customFormat="1" x14ac:dyDescent="0.35">
      <c r="A25" s="7" t="s">
        <v>280</v>
      </c>
      <c r="B25" s="72">
        <f>B23-B24</f>
        <v>4</v>
      </c>
      <c r="C25" s="66">
        <f>(D25/B25)*90%</f>
        <v>3.1325425714285711</v>
      </c>
      <c r="D25" s="35">
        <f>D23</f>
        <v>13.922411428571428</v>
      </c>
      <c r="E25" s="60"/>
      <c r="F25" s="83"/>
    </row>
    <row r="27" spans="1:10" x14ac:dyDescent="0.35">
      <c r="A27" s="16" t="s">
        <v>275</v>
      </c>
      <c r="B27" s="50" t="s">
        <v>235</v>
      </c>
      <c r="C27" s="45">
        <v>1</v>
      </c>
      <c r="D27" s="45">
        <v>2</v>
      </c>
      <c r="E27" s="45">
        <v>3</v>
      </c>
      <c r="F27" s="45">
        <v>4</v>
      </c>
      <c r="G27" s="46">
        <v>5</v>
      </c>
      <c r="H27" s="46">
        <v>6</v>
      </c>
      <c r="I27" s="46">
        <v>7</v>
      </c>
      <c r="J27" s="46">
        <v>8</v>
      </c>
    </row>
    <row r="28" spans="1:10" x14ac:dyDescent="0.35">
      <c r="A28" s="17" t="s">
        <v>51</v>
      </c>
      <c r="B28" s="53"/>
      <c r="C28" s="24">
        <f>$C$25*C27</f>
        <v>3.1325425714285711</v>
      </c>
      <c r="D28" s="24">
        <f t="shared" ref="D28:J28" si="2">$C$25*D27</f>
        <v>6.2650851428571421</v>
      </c>
      <c r="E28" s="24">
        <f t="shared" si="2"/>
        <v>9.3976277142857132</v>
      </c>
      <c r="F28" s="24">
        <f t="shared" si="2"/>
        <v>12.530170285714284</v>
      </c>
      <c r="G28" s="24">
        <f t="shared" si="2"/>
        <v>15.662712857142855</v>
      </c>
      <c r="H28" s="24">
        <f t="shared" si="2"/>
        <v>18.795255428571426</v>
      </c>
      <c r="I28" s="24">
        <f t="shared" si="2"/>
        <v>21.927797999999996</v>
      </c>
      <c r="J28" s="24">
        <f t="shared" si="2"/>
        <v>25.060340571428569</v>
      </c>
    </row>
    <row r="29" spans="1:10" x14ac:dyDescent="0.35">
      <c r="A29" s="16" t="s">
        <v>391</v>
      </c>
      <c r="B29" s="54">
        <v>1</v>
      </c>
      <c r="C29" s="24">
        <f>(($C$28+$B$29)+$C$50)*C27</f>
        <v>4.297001056428571</v>
      </c>
      <c r="D29" s="24">
        <f t="shared" ref="D29:J29" si="3">(($C$28+$B$29)+$C$50)*D27</f>
        <v>8.594002112857142</v>
      </c>
      <c r="E29" s="24">
        <f t="shared" si="3"/>
        <v>12.891003169285714</v>
      </c>
      <c r="F29" s="24">
        <f>(($C$28+$B$29)+$C$50)*F27</f>
        <v>17.188004225714284</v>
      </c>
      <c r="G29" s="24">
        <f t="shared" si="3"/>
        <v>21.485005282142854</v>
      </c>
      <c r="H29" s="24">
        <f t="shared" si="3"/>
        <v>25.782006338571428</v>
      </c>
      <c r="I29" s="24">
        <f t="shared" si="3"/>
        <v>30.079007394999998</v>
      </c>
      <c r="J29" s="24">
        <f t="shared" si="3"/>
        <v>34.376008451428568</v>
      </c>
    </row>
    <row r="30" spans="1:10" x14ac:dyDescent="0.35">
      <c r="A30" s="55" t="s">
        <v>380</v>
      </c>
      <c r="B30" s="56"/>
      <c r="C30" s="34">
        <f>C29+(C29*5.5%)</f>
        <v>4.5333361145321422</v>
      </c>
      <c r="D30" s="34">
        <f t="shared" ref="D30:J30" si="4">D29+(D29*5.5%)</f>
        <v>9.0666722290642845</v>
      </c>
      <c r="E30" s="34">
        <f t="shared" si="4"/>
        <v>13.600008343596429</v>
      </c>
      <c r="F30" s="34">
        <f t="shared" si="4"/>
        <v>18.133344458128569</v>
      </c>
      <c r="G30" s="34">
        <f t="shared" si="4"/>
        <v>22.666680572660709</v>
      </c>
      <c r="H30" s="34">
        <f t="shared" si="4"/>
        <v>27.200016687192857</v>
      </c>
      <c r="I30" s="34">
        <f t="shared" si="4"/>
        <v>31.733352801724998</v>
      </c>
      <c r="J30" s="34">
        <f t="shared" si="4"/>
        <v>36.266688916257138</v>
      </c>
    </row>
    <row r="31" spans="1:10" s="38" customFormat="1" x14ac:dyDescent="0.35">
      <c r="A31" s="49" t="s">
        <v>233</v>
      </c>
      <c r="B31" s="15"/>
      <c r="C31" s="15"/>
      <c r="D31" s="15"/>
      <c r="E31" s="15"/>
      <c r="F31" s="15"/>
      <c r="G31" s="15"/>
    </row>
    <row r="32" spans="1:10" x14ac:dyDescent="0.35">
      <c r="A32" s="15"/>
      <c r="B32" s="14"/>
      <c r="C32" s="14"/>
      <c r="D32" s="14"/>
      <c r="E32" s="14"/>
    </row>
    <row r="33" spans="1:10" x14ac:dyDescent="0.35">
      <c r="A33" s="16" t="s">
        <v>49</v>
      </c>
      <c r="B33" s="56"/>
      <c r="C33" s="47">
        <v>1</v>
      </c>
      <c r="D33" s="47">
        <v>2</v>
      </c>
      <c r="E33" s="47">
        <v>3</v>
      </c>
      <c r="F33" s="47">
        <v>4</v>
      </c>
      <c r="G33" s="48">
        <v>5</v>
      </c>
      <c r="H33" s="48">
        <v>6</v>
      </c>
      <c r="I33" s="48">
        <v>7</v>
      </c>
      <c r="J33" s="48">
        <v>8</v>
      </c>
    </row>
    <row r="34" spans="1:10" x14ac:dyDescent="0.35">
      <c r="A34" s="17" t="s">
        <v>52</v>
      </c>
      <c r="B34" s="56"/>
      <c r="C34" s="24">
        <f>C28-($C$23*C33)</f>
        <v>1.3922411428571426</v>
      </c>
      <c r="D34" s="24">
        <f t="shared" ref="D34:H34" si="5">D28-($C$23*D33)</f>
        <v>2.7844822857142852</v>
      </c>
      <c r="E34" s="24">
        <f t="shared" si="5"/>
        <v>4.1767234285714281</v>
      </c>
      <c r="F34" s="24">
        <f t="shared" si="5"/>
        <v>5.5689645714285705</v>
      </c>
      <c r="G34" s="24">
        <f t="shared" si="5"/>
        <v>6.9612057142857129</v>
      </c>
      <c r="H34" s="24">
        <f t="shared" si="5"/>
        <v>8.3534468571428562</v>
      </c>
      <c r="I34" s="24">
        <f t="shared" ref="I34:J34" si="6">I28-($C$23*I33)</f>
        <v>9.7456879999999959</v>
      </c>
      <c r="J34" s="24">
        <f t="shared" si="6"/>
        <v>11.137929142857141</v>
      </c>
    </row>
    <row r="35" spans="1:10" x14ac:dyDescent="0.35">
      <c r="A35" s="17" t="s">
        <v>53</v>
      </c>
      <c r="B35" s="56"/>
      <c r="C35" s="24">
        <f>C29-C28</f>
        <v>1.1644584849999999</v>
      </c>
      <c r="D35" s="24">
        <f t="shared" ref="D35:H35" si="7">D29-D28</f>
        <v>2.3289169699999999</v>
      </c>
      <c r="E35" s="24">
        <f t="shared" si="7"/>
        <v>3.4933754550000007</v>
      </c>
      <c r="F35" s="24">
        <f t="shared" si="7"/>
        <v>4.6578339399999997</v>
      </c>
      <c r="G35" s="24">
        <f t="shared" si="7"/>
        <v>5.8222924249999988</v>
      </c>
      <c r="H35" s="24">
        <f t="shared" si="7"/>
        <v>6.9867509100000014</v>
      </c>
      <c r="I35" s="24">
        <f t="shared" ref="I35:J35" si="8">I29-I28</f>
        <v>8.1512093950000022</v>
      </c>
      <c r="J35" s="24">
        <f t="shared" si="8"/>
        <v>9.3156678799999995</v>
      </c>
    </row>
    <row r="36" spans="1:10" s="38" customFormat="1" x14ac:dyDescent="0.35">
      <c r="A36" s="49" t="s">
        <v>234</v>
      </c>
      <c r="B36" s="15"/>
      <c r="C36" s="15"/>
      <c r="D36" s="15"/>
      <c r="E36" s="15"/>
      <c r="F36" s="15"/>
    </row>
    <row r="38" spans="1:10" x14ac:dyDescent="0.35">
      <c r="A38" s="2" t="s">
        <v>236</v>
      </c>
      <c r="B38" s="56"/>
      <c r="C38" s="47">
        <v>1</v>
      </c>
      <c r="D38" s="47">
        <v>2</v>
      </c>
      <c r="E38" s="47">
        <v>3</v>
      </c>
      <c r="F38" s="47">
        <v>4</v>
      </c>
      <c r="G38" s="48">
        <v>5</v>
      </c>
      <c r="H38" s="48">
        <v>6</v>
      </c>
      <c r="I38" s="48">
        <v>7</v>
      </c>
      <c r="J38" s="48">
        <v>8</v>
      </c>
    </row>
    <row r="39" spans="1:10" x14ac:dyDescent="0.35">
      <c r="A39" s="7" t="s">
        <v>238</v>
      </c>
      <c r="B39" s="56"/>
      <c r="C39" s="59">
        <f>IF($D$23=0,0,(C28)/$D$23)</f>
        <v>0.22499999999999998</v>
      </c>
      <c r="D39" s="59">
        <f t="shared" ref="D39:H39" si="9">IF($D$23=0,0,(D28)/$D$23)</f>
        <v>0.44999999999999996</v>
      </c>
      <c r="E39" s="59">
        <f t="shared" si="9"/>
        <v>0.67499999999999993</v>
      </c>
      <c r="F39" s="59">
        <f t="shared" si="9"/>
        <v>0.89999999999999991</v>
      </c>
      <c r="G39" s="59">
        <f t="shared" si="9"/>
        <v>1.125</v>
      </c>
      <c r="H39" s="59">
        <f t="shared" si="9"/>
        <v>1.3499999999999999</v>
      </c>
      <c r="I39" s="59">
        <f t="shared" ref="I39:J39" si="10">IF($D$23=0,0,(I28)/$D$23)</f>
        <v>1.5749999999999997</v>
      </c>
      <c r="J39" s="59">
        <f t="shared" si="10"/>
        <v>1.7999999999999998</v>
      </c>
    </row>
    <row r="40" spans="1:10" x14ac:dyDescent="0.35">
      <c r="A40" s="7" t="s">
        <v>237</v>
      </c>
      <c r="B40" s="56"/>
      <c r="C40" s="24">
        <f>C35</f>
        <v>1.1644584849999999</v>
      </c>
      <c r="D40" s="24">
        <f t="shared" ref="D40:H40" si="11">D35</f>
        <v>2.3289169699999999</v>
      </c>
      <c r="E40" s="24">
        <f t="shared" si="11"/>
        <v>3.4933754550000007</v>
      </c>
      <c r="F40" s="24">
        <f t="shared" si="11"/>
        <v>4.6578339399999997</v>
      </c>
      <c r="G40" s="24">
        <f t="shared" si="11"/>
        <v>5.8222924249999988</v>
      </c>
      <c r="H40" s="24">
        <f t="shared" si="11"/>
        <v>6.9867509100000014</v>
      </c>
      <c r="I40" s="24">
        <f t="shared" ref="I40:J40" si="12">I35</f>
        <v>8.1512093950000022</v>
      </c>
      <c r="J40" s="24">
        <f t="shared" si="12"/>
        <v>9.3156678799999995</v>
      </c>
    </row>
    <row r="42" spans="1:10" s="60" customFormat="1" x14ac:dyDescent="0.35">
      <c r="A42" s="71" t="s">
        <v>384</v>
      </c>
      <c r="B42" s="76"/>
      <c r="C42" s="111"/>
      <c r="D42" s="111"/>
      <c r="E42" s="111"/>
      <c r="F42" s="111"/>
      <c r="G42" s="111"/>
      <c r="H42" s="111"/>
      <c r="I42" s="111"/>
      <c r="J42" s="111"/>
    </row>
    <row r="43" spans="1:10" s="60" customFormat="1" x14ac:dyDescent="0.35">
      <c r="B43" s="57"/>
      <c r="C43" s="15"/>
      <c r="D43" s="15"/>
      <c r="E43" s="15"/>
      <c r="F43" s="15"/>
      <c r="G43" s="15"/>
      <c r="H43" s="15"/>
      <c r="I43" s="15"/>
      <c r="J43" s="15"/>
    </row>
    <row r="44" spans="1:10" s="60" customFormat="1" ht="43.5" x14ac:dyDescent="0.35">
      <c r="A44" s="109" t="s">
        <v>385</v>
      </c>
      <c r="B44" s="112">
        <v>0.15</v>
      </c>
      <c r="C44" s="48">
        <v>1</v>
      </c>
      <c r="D44" s="48">
        <v>2</v>
      </c>
      <c r="E44" s="48">
        <v>3</v>
      </c>
      <c r="F44" s="48">
        <v>4</v>
      </c>
      <c r="G44" s="48">
        <v>5</v>
      </c>
      <c r="H44" s="48">
        <v>6</v>
      </c>
      <c r="I44" s="48">
        <v>7</v>
      </c>
      <c r="J44" s="48">
        <v>8</v>
      </c>
    </row>
    <row r="45" spans="1:10" s="60" customFormat="1" x14ac:dyDescent="0.35">
      <c r="A45" s="11" t="s">
        <v>382</v>
      </c>
      <c r="B45" s="110"/>
      <c r="C45" s="24">
        <f>($C$23-$C$23*5.5%)*C44</f>
        <v>1.6445848499999998</v>
      </c>
      <c r="D45" s="24">
        <f t="shared" ref="D45:J45" si="13">($C$23-$C$23*5.5%)*D44</f>
        <v>3.2891696999999995</v>
      </c>
      <c r="E45" s="24">
        <f t="shared" si="13"/>
        <v>4.9337545499999997</v>
      </c>
      <c r="F45" s="24">
        <f t="shared" si="13"/>
        <v>6.5783393999999991</v>
      </c>
      <c r="G45" s="24">
        <f t="shared" si="13"/>
        <v>8.2229242499999984</v>
      </c>
      <c r="H45" s="24">
        <f t="shared" si="13"/>
        <v>9.8675090999999995</v>
      </c>
      <c r="I45" s="24">
        <f t="shared" si="13"/>
        <v>11.512093949999999</v>
      </c>
      <c r="J45" s="24">
        <f t="shared" si="13"/>
        <v>13.156678799999998</v>
      </c>
    </row>
    <row r="46" spans="1:10" s="60" customFormat="1" x14ac:dyDescent="0.35">
      <c r="A46" s="11" t="s">
        <v>281</v>
      </c>
      <c r="B46" s="16"/>
      <c r="C46" s="115">
        <f>C45*$B$44</f>
        <v>0.24668772749999995</v>
      </c>
      <c r="D46" s="115">
        <f t="shared" ref="D46:J46" si="14">D45*$B$44</f>
        <v>0.49337545499999991</v>
      </c>
      <c r="E46" s="115">
        <f t="shared" si="14"/>
        <v>0.74006318249999992</v>
      </c>
      <c r="F46" s="115">
        <f t="shared" si="14"/>
        <v>0.98675090999999981</v>
      </c>
      <c r="G46" s="115">
        <f t="shared" si="14"/>
        <v>1.2334386374999997</v>
      </c>
      <c r="H46" s="115">
        <f t="shared" si="14"/>
        <v>1.4801263649999998</v>
      </c>
      <c r="I46" s="115">
        <f t="shared" si="14"/>
        <v>1.7268140924999997</v>
      </c>
      <c r="J46" s="115">
        <f t="shared" si="14"/>
        <v>1.9735018199999996</v>
      </c>
    </row>
    <row r="47" spans="1:10" s="60" customFormat="1" x14ac:dyDescent="0.35">
      <c r="B47" s="57"/>
      <c r="C47" s="114"/>
      <c r="D47" s="114"/>
      <c r="E47" s="114"/>
      <c r="F47" s="114"/>
      <c r="G47" s="114"/>
      <c r="H47" s="114"/>
      <c r="I47" s="114"/>
      <c r="J47" s="114"/>
    </row>
    <row r="48" spans="1:10" s="60" customFormat="1" ht="43.5" x14ac:dyDescent="0.35">
      <c r="A48" s="109" t="s">
        <v>394</v>
      </c>
      <c r="B48" s="112">
        <v>0.1</v>
      </c>
      <c r="C48" s="48">
        <v>1</v>
      </c>
      <c r="D48" s="48">
        <v>2</v>
      </c>
      <c r="E48" s="48">
        <v>3</v>
      </c>
      <c r="F48" s="48">
        <v>4</v>
      </c>
      <c r="G48" s="48">
        <v>5</v>
      </c>
      <c r="H48" s="48">
        <v>6</v>
      </c>
      <c r="I48" s="48">
        <v>7</v>
      </c>
      <c r="J48" s="48">
        <v>8</v>
      </c>
    </row>
    <row r="49" spans="1:10" s="60" customFormat="1" x14ac:dyDescent="0.35">
      <c r="A49" s="11" t="s">
        <v>382</v>
      </c>
      <c r="B49" s="16"/>
      <c r="C49" s="24">
        <f>($C$23-$C$23*5.5%)*C48</f>
        <v>1.6445848499999998</v>
      </c>
      <c r="D49" s="24">
        <f t="shared" ref="D49:J49" si="15">($C$23-$C$23*5.5%)*D48</f>
        <v>3.2891696999999995</v>
      </c>
      <c r="E49" s="24">
        <f t="shared" si="15"/>
        <v>4.9337545499999997</v>
      </c>
      <c r="F49" s="24">
        <f t="shared" si="15"/>
        <v>6.5783393999999991</v>
      </c>
      <c r="G49" s="24">
        <f t="shared" si="15"/>
        <v>8.2229242499999984</v>
      </c>
      <c r="H49" s="24">
        <f t="shared" si="15"/>
        <v>9.8675090999999995</v>
      </c>
      <c r="I49" s="24">
        <f t="shared" si="15"/>
        <v>11.512093949999999</v>
      </c>
      <c r="J49" s="24">
        <f t="shared" si="15"/>
        <v>13.156678799999998</v>
      </c>
    </row>
    <row r="50" spans="1:10" s="60" customFormat="1" x14ac:dyDescent="0.35">
      <c r="A50" s="11" t="s">
        <v>386</v>
      </c>
      <c r="B50" s="16"/>
      <c r="C50" s="113">
        <f>C49*$B$48</f>
        <v>0.16445848499999999</v>
      </c>
      <c r="D50" s="113">
        <f t="shared" ref="D50:J50" si="16">D49*$B$48</f>
        <v>0.32891696999999998</v>
      </c>
      <c r="E50" s="113">
        <f t="shared" si="16"/>
        <v>0.49337545500000002</v>
      </c>
      <c r="F50" s="113">
        <f t="shared" si="16"/>
        <v>0.65783393999999995</v>
      </c>
      <c r="G50" s="113">
        <f t="shared" si="16"/>
        <v>0.82229242499999988</v>
      </c>
      <c r="H50" s="113">
        <f t="shared" si="16"/>
        <v>0.98675091000000004</v>
      </c>
      <c r="I50" s="113">
        <f t="shared" si="16"/>
        <v>1.151209395</v>
      </c>
      <c r="J50" s="113">
        <f t="shared" si="16"/>
        <v>1.3156678799999999</v>
      </c>
    </row>
    <row r="51" spans="1:10" s="60" customFormat="1" x14ac:dyDescent="0.35">
      <c r="A51" s="11" t="s">
        <v>387</v>
      </c>
      <c r="B51" s="16"/>
      <c r="C51" s="113">
        <f>C40-C50</f>
        <v>1</v>
      </c>
      <c r="D51" s="113">
        <f t="shared" ref="D51:J51" si="17">D40-D50</f>
        <v>2</v>
      </c>
      <c r="E51" s="113">
        <f t="shared" si="17"/>
        <v>3.0000000000000009</v>
      </c>
      <c r="F51" s="113">
        <f t="shared" si="17"/>
        <v>4</v>
      </c>
      <c r="G51" s="113">
        <f t="shared" si="17"/>
        <v>4.9999999999999991</v>
      </c>
      <c r="H51" s="113">
        <f t="shared" si="17"/>
        <v>6.0000000000000018</v>
      </c>
      <c r="I51" s="113">
        <f t="shared" si="17"/>
        <v>7.0000000000000018</v>
      </c>
      <c r="J51" s="113">
        <f t="shared" si="17"/>
        <v>8</v>
      </c>
    </row>
    <row r="53" spans="1:10" x14ac:dyDescent="0.35">
      <c r="A53" s="68" t="s">
        <v>416</v>
      </c>
      <c r="B53" s="67"/>
      <c r="C53" s="67"/>
      <c r="D53" s="67"/>
      <c r="E53" s="67"/>
      <c r="F53" s="67"/>
      <c r="G53" s="67"/>
      <c r="H53" s="67"/>
      <c r="I53" s="67"/>
      <c r="J53" s="67"/>
    </row>
    <row r="55" spans="1:10" x14ac:dyDescent="0.35">
      <c r="A55" s="117" t="s">
        <v>389</v>
      </c>
      <c r="B55" s="118"/>
    </row>
    <row r="56" spans="1:10" x14ac:dyDescent="0.35">
      <c r="A56" s="116" t="s">
        <v>393</v>
      </c>
      <c r="B56" s="119">
        <f>J46</f>
        <v>1.9735018199999996</v>
      </c>
    </row>
    <row r="57" spans="1:10" x14ac:dyDescent="0.35">
      <c r="A57" s="42" t="s">
        <v>392</v>
      </c>
      <c r="B57" s="91">
        <f>F40</f>
        <v>4.6578339399999997</v>
      </c>
    </row>
    <row r="58" spans="1:10" x14ac:dyDescent="0.35">
      <c r="A58" s="120" t="s">
        <v>48</v>
      </c>
      <c r="B58" s="13">
        <f>SUM(B56:B57)</f>
        <v>6.6313357599999989</v>
      </c>
    </row>
    <row r="60" spans="1:10" x14ac:dyDescent="0.35">
      <c r="A60" s="117" t="s">
        <v>390</v>
      </c>
      <c r="B60" s="118"/>
    </row>
    <row r="61" spans="1:10" x14ac:dyDescent="0.35">
      <c r="A61" s="116" t="s">
        <v>393</v>
      </c>
      <c r="B61" s="119">
        <f>J46</f>
        <v>1.9735018199999996</v>
      </c>
    </row>
    <row r="62" spans="1:10" x14ac:dyDescent="0.35">
      <c r="A62" s="42" t="s">
        <v>392</v>
      </c>
      <c r="B62" s="91">
        <f>F51</f>
        <v>4</v>
      </c>
    </row>
    <row r="63" spans="1:10" x14ac:dyDescent="0.35">
      <c r="A63" s="120" t="s">
        <v>48</v>
      </c>
      <c r="B63" s="13">
        <f>SUM(B61:B62)</f>
        <v>5.9735018199999992</v>
      </c>
    </row>
    <row r="65" spans="1:10" x14ac:dyDescent="0.35">
      <c r="A65" s="68" t="s">
        <v>422</v>
      </c>
      <c r="B65" s="67"/>
      <c r="C65" s="67"/>
      <c r="D65" s="67"/>
      <c r="E65" s="67"/>
      <c r="F65" s="67"/>
      <c r="G65" s="67"/>
      <c r="H65" s="67"/>
      <c r="I65" s="67"/>
      <c r="J65" s="67"/>
    </row>
    <row r="67" spans="1:10" x14ac:dyDescent="0.35">
      <c r="A67" s="117" t="s">
        <v>389</v>
      </c>
      <c r="B67" s="118"/>
    </row>
    <row r="68" spans="1:10" x14ac:dyDescent="0.35">
      <c r="A68" s="42" t="s">
        <v>405</v>
      </c>
      <c r="B68" s="91">
        <f>D23</f>
        <v>13.922411428571428</v>
      </c>
    </row>
    <row r="69" spans="1:10" x14ac:dyDescent="0.35">
      <c r="A69" s="116" t="s">
        <v>393</v>
      </c>
      <c r="B69" s="119">
        <f>0-J46</f>
        <v>-1.9735018199999996</v>
      </c>
    </row>
    <row r="70" spans="1:10" x14ac:dyDescent="0.35">
      <c r="A70" s="120" t="s">
        <v>48</v>
      </c>
      <c r="B70" s="13">
        <f>SUM(B68:B69)</f>
        <v>11.948909608571428</v>
      </c>
    </row>
    <row r="72" spans="1:10" x14ac:dyDescent="0.35">
      <c r="A72" s="133" t="s">
        <v>390</v>
      </c>
      <c r="B72" s="134"/>
    </row>
    <row r="73" spans="1:10" x14ac:dyDescent="0.35">
      <c r="A73" s="42" t="s">
        <v>405</v>
      </c>
      <c r="B73" s="91">
        <f>D23</f>
        <v>13.922411428571428</v>
      </c>
    </row>
    <row r="74" spans="1:10" x14ac:dyDescent="0.35">
      <c r="A74" s="42" t="s">
        <v>393</v>
      </c>
      <c r="B74" s="91">
        <f>0-J46</f>
        <v>-1.9735018199999996</v>
      </c>
    </row>
    <row r="75" spans="1:10" x14ac:dyDescent="0.35">
      <c r="A75" s="42" t="s">
        <v>406</v>
      </c>
      <c r="B75" s="91">
        <f>F50</f>
        <v>0.65783393999999995</v>
      </c>
    </row>
    <row r="76" spans="1:10" x14ac:dyDescent="0.35">
      <c r="A76" s="120" t="s">
        <v>48</v>
      </c>
      <c r="B76" s="13">
        <f>SUM(B73:B75)</f>
        <v>12.606743548571428</v>
      </c>
    </row>
    <row r="78" spans="1:10" x14ac:dyDescent="0.35">
      <c r="A78" s="37" t="s">
        <v>96</v>
      </c>
      <c r="B78" s="38"/>
    </row>
    <row r="81" spans="1:2" x14ac:dyDescent="0.35">
      <c r="A81" s="2" t="s">
        <v>67</v>
      </c>
      <c r="B81" s="7"/>
    </row>
    <row r="82" spans="1:2" x14ac:dyDescent="0.35">
      <c r="A82" s="7" t="s">
        <v>116</v>
      </c>
      <c r="B82" s="7"/>
    </row>
    <row r="83" spans="1:2" x14ac:dyDescent="0.35">
      <c r="A83" s="7" t="s">
        <v>140</v>
      </c>
      <c r="B83" s="7"/>
    </row>
    <row r="85" spans="1:2" x14ac:dyDescent="0.35">
      <c r="A85" s="39" t="s">
        <v>115</v>
      </c>
      <c r="B85" s="40"/>
    </row>
  </sheetData>
  <conditionalFormatting sqref="C39:J39">
    <cfRule type="cellIs" dxfId="168" priority="7" operator="greaterThanOrEqual">
      <formula>1</formula>
    </cfRule>
    <cfRule type="cellIs" dxfId="167" priority="8" operator="between">
      <formula>0.5</formula>
      <formula>1</formula>
    </cfRule>
  </conditionalFormatting>
  <conditionalFormatting sqref="C40:J40">
    <cfRule type="cellIs" dxfId="166" priority="5" operator="greaterThanOrEqual">
      <formula>4</formula>
    </cfRule>
    <cfRule type="cellIs" dxfId="165" priority="6" operator="greaterThanOrEqual">
      <formula>2</formula>
    </cfRule>
  </conditionalFormatting>
  <conditionalFormatting sqref="C50:J50">
    <cfRule type="cellIs" dxfId="164" priority="4" operator="greaterThanOrEqual">
      <formula>$J$46</formula>
    </cfRule>
  </conditionalFormatting>
  <conditionalFormatting sqref="C51:J51">
    <cfRule type="cellIs" dxfId="163" priority="2" operator="between">
      <formula>2</formula>
      <formula>4</formula>
    </cfRule>
    <cfRule type="cellIs" dxfId="162" priority="3" operator="greaterThanOrEqual">
      <formula>4</formula>
    </cfRule>
  </conditionalFormatting>
  <conditionalFormatting sqref="C46:J46">
    <cfRule type="cellIs" dxfId="161" priority="1" operator="greaterThanOrEqual">
      <formula>0.5</formula>
    </cfRule>
  </conditionalFormatting>
  <dataValidations count="1">
    <dataValidation type="list" allowBlank="1" showInputMessage="1" showErrorMessage="1" sqref="F6 A6:A13">
      <formula1>Ingrédients_recettes</formula1>
    </dataValidation>
  </dataValidations>
  <pageMargins left="0.7" right="0.7" top="0.75" bottom="0.75" header="0.3" footer="0.3"/>
  <pageSetup paperSize="9" orientation="portrait" horizontalDpi="4294967293"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99"/>
  <sheetViews>
    <sheetView topLeftCell="A20" workbookViewId="0">
      <selection activeCell="D27" sqref="D27"/>
    </sheetView>
  </sheetViews>
  <sheetFormatPr baseColWidth="10" defaultRowHeight="14.5" x14ac:dyDescent="0.35"/>
  <cols>
    <col min="1" max="1" width="34.1796875" customWidth="1"/>
    <col min="2" max="2" width="14.6328125" bestFit="1" customWidth="1"/>
    <col min="3" max="3" width="13.1796875" bestFit="1" customWidth="1"/>
    <col min="4" max="4" width="14.36328125" bestFit="1" customWidth="1"/>
    <col min="5" max="5" width="10.1796875" bestFit="1" customWidth="1"/>
    <col min="6" max="6" width="10" customWidth="1"/>
    <col min="7" max="7" width="9.81640625" customWidth="1"/>
  </cols>
  <sheetData>
    <row r="1" spans="1:8" x14ac:dyDescent="0.35">
      <c r="A1" s="61" t="s">
        <v>345</v>
      </c>
      <c r="B1" s="62"/>
      <c r="C1" s="62"/>
      <c r="D1" s="62"/>
      <c r="E1" s="62"/>
      <c r="F1" s="62"/>
      <c r="G1" s="62"/>
      <c r="H1" s="63"/>
    </row>
    <row r="2" spans="1:8" s="38" customFormat="1" x14ac:dyDescent="0.35">
      <c r="A2" s="73"/>
      <c r="B2" s="74"/>
      <c r="C2" s="74"/>
      <c r="D2" s="74"/>
      <c r="E2" s="74"/>
      <c r="F2" s="74"/>
      <c r="G2" s="74"/>
    </row>
    <row r="3" spans="1:8" s="38" customFormat="1" x14ac:dyDescent="0.35">
      <c r="A3" s="68" t="s">
        <v>276</v>
      </c>
      <c r="B3" s="75"/>
      <c r="C3" s="75"/>
      <c r="D3" s="75"/>
      <c r="E3" s="67"/>
      <c r="F3" s="67"/>
      <c r="G3" s="67"/>
      <c r="H3" s="67"/>
    </row>
    <row r="5" spans="1:8" x14ac:dyDescent="0.35">
      <c r="A5" s="2" t="s">
        <v>68</v>
      </c>
      <c r="B5" s="2" t="s">
        <v>41</v>
      </c>
      <c r="C5" s="2" t="s">
        <v>42</v>
      </c>
      <c r="D5" s="2" t="s">
        <v>40</v>
      </c>
    </row>
    <row r="6" spans="1:8" x14ac:dyDescent="0.35">
      <c r="A6" s="7" t="s">
        <v>298</v>
      </c>
      <c r="B6" s="6">
        <v>0.5</v>
      </c>
      <c r="C6" s="31">
        <f t="shared" ref="C6:C11" si="0">IF(ISERROR(VLOOKUP(A6,Tableau_produits,6,FALSE)),0,VLOOKUP(A6,Tableau_produits,6,FALSE))</f>
        <v>9.08</v>
      </c>
      <c r="D6" s="32">
        <f>C6*B6</f>
        <v>4.54</v>
      </c>
    </row>
    <row r="7" spans="1:8" x14ac:dyDescent="0.35">
      <c r="A7" s="7" t="s">
        <v>317</v>
      </c>
      <c r="B7" s="6">
        <v>0.4</v>
      </c>
      <c r="C7" s="31">
        <f t="shared" si="0"/>
        <v>4.6999999999999993</v>
      </c>
      <c r="D7" s="32">
        <f>C7*B7</f>
        <v>1.88</v>
      </c>
    </row>
    <row r="8" spans="1:8" x14ac:dyDescent="0.35">
      <c r="A8" s="7" t="s">
        <v>319</v>
      </c>
      <c r="B8" s="6">
        <f>0.143*2</f>
        <v>0.28599999999999998</v>
      </c>
      <c r="C8" s="31">
        <f t="shared" si="0"/>
        <v>3.29</v>
      </c>
      <c r="D8" s="32">
        <f t="shared" ref="D8:D12" si="1">C8*B8</f>
        <v>0.94093999999999989</v>
      </c>
    </row>
    <row r="9" spans="1:8" x14ac:dyDescent="0.35">
      <c r="A9" s="7" t="s">
        <v>295</v>
      </c>
      <c r="B9" s="6">
        <f>0.002*2</f>
        <v>4.0000000000000001E-3</v>
      </c>
      <c r="C9" s="31">
        <f t="shared" si="0"/>
        <v>79.142857142857139</v>
      </c>
      <c r="D9" s="32">
        <f t="shared" si="1"/>
        <v>0.31657142857142856</v>
      </c>
    </row>
    <row r="10" spans="1:8" x14ac:dyDescent="0.35">
      <c r="A10" s="7" t="s">
        <v>296</v>
      </c>
      <c r="B10" s="10">
        <v>1</v>
      </c>
      <c r="C10" s="31">
        <f t="shared" si="0"/>
        <v>0.75</v>
      </c>
      <c r="D10" s="32">
        <f t="shared" si="1"/>
        <v>0.75</v>
      </c>
    </row>
    <row r="11" spans="1:8" x14ac:dyDescent="0.35">
      <c r="A11" s="7" t="s">
        <v>321</v>
      </c>
      <c r="B11" s="22">
        <v>1E-3</v>
      </c>
      <c r="C11" s="31">
        <f t="shared" si="0"/>
        <v>68.333333333333329</v>
      </c>
      <c r="D11" s="32">
        <f t="shared" si="1"/>
        <v>6.8333333333333329E-2</v>
      </c>
    </row>
    <row r="12" spans="1:8" x14ac:dyDescent="0.35">
      <c r="A12" s="7" t="s">
        <v>108</v>
      </c>
      <c r="B12" s="21">
        <f>0.01*3</f>
        <v>0.03</v>
      </c>
      <c r="C12" s="31">
        <f>IF(ISERROR(VLOOKUP(A12,Tableau_produits,6,FALSE)),0,VLOOKUP(A12,Tableau_produits,6,FALSE))</f>
        <v>7.8533333333333326</v>
      </c>
      <c r="D12" s="33">
        <f t="shared" si="1"/>
        <v>0.23559999999999998</v>
      </c>
    </row>
    <row r="13" spans="1:8" x14ac:dyDescent="0.35">
      <c r="A13" s="7" t="s">
        <v>323</v>
      </c>
      <c r="B13" s="21">
        <v>0.35</v>
      </c>
      <c r="C13" s="31">
        <f>IF(ISERROR(VLOOKUP(A13,Tableau_produits,6,FALSE)),0,VLOOKUP(A13,Tableau_produits,6,FALSE))</f>
        <v>24.114285714285714</v>
      </c>
      <c r="D13" s="33">
        <f t="shared" ref="D13" si="2">C13*B13</f>
        <v>8.44</v>
      </c>
    </row>
    <row r="14" spans="1:8" x14ac:dyDescent="0.35">
      <c r="A14" s="7" t="s">
        <v>324</v>
      </c>
      <c r="B14" s="21">
        <f>0.04*9</f>
        <v>0.36</v>
      </c>
      <c r="C14" s="31">
        <f>IF(ISERROR(VLOOKUP(A14,Tableau_produits,6,FALSE)),0,VLOOKUP(A14,Tableau_produits,6,FALSE))</f>
        <v>0</v>
      </c>
      <c r="D14" s="33">
        <f t="shared" ref="D14" si="3">C14*B14</f>
        <v>0</v>
      </c>
    </row>
    <row r="15" spans="1:8" x14ac:dyDescent="0.35">
      <c r="A15" s="7" t="s">
        <v>111</v>
      </c>
      <c r="B15" s="10">
        <f>0.001</f>
        <v>1E-3</v>
      </c>
      <c r="C15" s="31">
        <f>IF(ISERROR(VLOOKUP(A15,Tableau_produits,6,FALSE)),0,VLOOKUP(A15,Tableau_produits,6,FALSE))</f>
        <v>4.9800000000000004</v>
      </c>
      <c r="D15" s="33">
        <f t="shared" ref="D15:D16" si="4">C15*B15</f>
        <v>4.9800000000000009E-3</v>
      </c>
    </row>
    <row r="16" spans="1:8" x14ac:dyDescent="0.35">
      <c r="A16" s="7" t="s">
        <v>136</v>
      </c>
      <c r="B16" s="10">
        <f>0.0005</f>
        <v>5.0000000000000001E-4</v>
      </c>
      <c r="C16" s="31">
        <f>IF(ISERROR(VLOOKUP(A16,Tableau_produits,6,FALSE)),0,VLOOKUP(A16,Tableau_produits,6,FALSE))</f>
        <v>94.199999999999989</v>
      </c>
      <c r="D16" s="33">
        <f t="shared" si="4"/>
        <v>4.7099999999999996E-2</v>
      </c>
    </row>
    <row r="17" spans="1:10" x14ac:dyDescent="0.35">
      <c r="A17" s="13" t="s">
        <v>48</v>
      </c>
      <c r="B17" s="13"/>
      <c r="C17" s="13"/>
      <c r="D17" s="34">
        <f>SUM(D6:D16)</f>
        <v>17.223524761904759</v>
      </c>
    </row>
    <row r="18" spans="1:10" x14ac:dyDescent="0.35">
      <c r="A18" s="34" t="str">
        <f>"Coût par portion ("&amp;ROUND(C21*1000,0)&amp;"g)"</f>
        <v>Coût par portion (0g)</v>
      </c>
      <c r="B18" s="13"/>
      <c r="C18" s="13"/>
      <c r="D18" s="34">
        <f>IF(E21=0,0,D17/E21)</f>
        <v>1.9137249735449733</v>
      </c>
    </row>
    <row r="20" spans="1:10" ht="43.5" x14ac:dyDescent="0.35">
      <c r="A20" s="2" t="s">
        <v>90</v>
      </c>
      <c r="B20" s="28" t="s">
        <v>91</v>
      </c>
      <c r="C20" s="28" t="s">
        <v>94</v>
      </c>
      <c r="D20" s="28" t="s">
        <v>92</v>
      </c>
      <c r="E20" s="28" t="s">
        <v>95</v>
      </c>
    </row>
    <row r="21" spans="1:10" x14ac:dyDescent="0.35">
      <c r="A21" s="7" t="s">
        <v>93</v>
      </c>
      <c r="B21" s="7"/>
      <c r="C21" s="7">
        <v>0</v>
      </c>
      <c r="D21" s="30">
        <v>9</v>
      </c>
      <c r="E21" s="35">
        <f>TRUNC(D21)</f>
        <v>9</v>
      </c>
    </row>
    <row r="22" spans="1:10" s="38" customFormat="1" x14ac:dyDescent="0.35">
      <c r="A22" s="60"/>
      <c r="B22" s="60"/>
      <c r="C22" s="60"/>
      <c r="D22" s="64"/>
      <c r="E22" s="60"/>
    </row>
    <row r="23" spans="1:10" s="38" customFormat="1" x14ac:dyDescent="0.35">
      <c r="A23" s="71" t="s">
        <v>277</v>
      </c>
      <c r="B23" s="69"/>
      <c r="C23" s="81"/>
      <c r="D23" s="70"/>
      <c r="E23" s="69"/>
      <c r="F23" s="67"/>
      <c r="G23" s="67"/>
      <c r="H23" s="67"/>
    </row>
    <row r="24" spans="1:10" s="38" customFormat="1" x14ac:dyDescent="0.35">
      <c r="A24" s="60"/>
      <c r="B24" s="60"/>
      <c r="C24" s="60"/>
      <c r="D24" s="64"/>
      <c r="E24" s="60"/>
    </row>
    <row r="25" spans="1:10" s="38" customFormat="1" x14ac:dyDescent="0.35">
      <c r="A25" s="16" t="s">
        <v>273</v>
      </c>
      <c r="B25" s="2" t="s">
        <v>267</v>
      </c>
      <c r="C25" s="2" t="s">
        <v>268</v>
      </c>
      <c r="D25" s="2" t="s">
        <v>269</v>
      </c>
      <c r="E25" s="60"/>
    </row>
    <row r="26" spans="1:10" s="38" customFormat="1" x14ac:dyDescent="0.35">
      <c r="A26" s="7" t="s">
        <v>278</v>
      </c>
      <c r="B26" s="78">
        <v>8</v>
      </c>
      <c r="C26" s="24">
        <f>D18</f>
        <v>1.9137249735449733</v>
      </c>
      <c r="D26" s="35">
        <f>C26*B26</f>
        <v>15.309799788359786</v>
      </c>
      <c r="E26" s="60"/>
    </row>
    <row r="27" spans="1:10" s="38" customFormat="1" x14ac:dyDescent="0.35">
      <c r="A27" s="7" t="s">
        <v>279</v>
      </c>
      <c r="B27" s="79">
        <v>4</v>
      </c>
      <c r="C27" s="24">
        <f>C26</f>
        <v>1.9137249735449733</v>
      </c>
      <c r="D27" s="35">
        <f>C27*B27</f>
        <v>7.6548998941798931</v>
      </c>
      <c r="E27" s="60"/>
    </row>
    <row r="28" spans="1:10" s="38" customFormat="1" x14ac:dyDescent="0.35">
      <c r="A28" s="7" t="s">
        <v>280</v>
      </c>
      <c r="B28" s="72">
        <f>B26-B27</f>
        <v>4</v>
      </c>
      <c r="C28" s="66">
        <f>(D28/B28)*90%</f>
        <v>3.4447049523809521</v>
      </c>
      <c r="D28" s="35">
        <f>D26</f>
        <v>15.309799788359786</v>
      </c>
      <c r="E28" s="60"/>
      <c r="F28" s="83"/>
    </row>
    <row r="30" spans="1:10" x14ac:dyDescent="0.35">
      <c r="A30" s="16" t="s">
        <v>275</v>
      </c>
      <c r="B30" s="50" t="s">
        <v>235</v>
      </c>
      <c r="C30" s="45">
        <v>1</v>
      </c>
      <c r="D30" s="45">
        <v>2</v>
      </c>
      <c r="E30" s="45">
        <v>3</v>
      </c>
      <c r="F30" s="45">
        <v>4</v>
      </c>
      <c r="G30" s="46">
        <v>5</v>
      </c>
      <c r="H30" s="46">
        <v>6</v>
      </c>
      <c r="I30" s="46">
        <v>7</v>
      </c>
      <c r="J30" s="46">
        <v>8</v>
      </c>
    </row>
    <row r="31" spans="1:10" x14ac:dyDescent="0.35">
      <c r="A31" s="17" t="s">
        <v>51</v>
      </c>
      <c r="B31" s="53"/>
      <c r="C31" s="24">
        <f>$C$28*C30</f>
        <v>3.4447049523809521</v>
      </c>
      <c r="D31" s="24">
        <f>$C$28*D30</f>
        <v>6.8894099047619042</v>
      </c>
      <c r="E31" s="24">
        <f t="shared" ref="E31:J31" si="5">$C$28*E30</f>
        <v>10.334114857142856</v>
      </c>
      <c r="F31" s="24">
        <f t="shared" si="5"/>
        <v>13.778819809523808</v>
      </c>
      <c r="G31" s="24">
        <f t="shared" si="5"/>
        <v>17.223524761904759</v>
      </c>
      <c r="H31" s="24">
        <f t="shared" si="5"/>
        <v>20.668229714285712</v>
      </c>
      <c r="I31" s="24">
        <f t="shared" si="5"/>
        <v>24.112934666666664</v>
      </c>
      <c r="J31" s="24">
        <f t="shared" si="5"/>
        <v>27.557639619047617</v>
      </c>
    </row>
    <row r="32" spans="1:10" x14ac:dyDescent="0.35">
      <c r="A32" s="16" t="s">
        <v>391</v>
      </c>
      <c r="B32" s="54">
        <v>1</v>
      </c>
      <c r="C32" s="30">
        <f>(($C$31+$B$32)+$C$53)*C30</f>
        <v>4.6255519623809525</v>
      </c>
      <c r="D32" s="30">
        <f t="shared" ref="D32:J32" si="6">(($C$31+$B$32)+$C$53)*D30</f>
        <v>9.2511039247619049</v>
      </c>
      <c r="E32" s="30">
        <f t="shared" si="6"/>
        <v>13.876655887142856</v>
      </c>
      <c r="F32" s="30">
        <f t="shared" si="6"/>
        <v>18.50220784952381</v>
      </c>
      <c r="G32" s="30">
        <f t="shared" si="6"/>
        <v>23.127759811904763</v>
      </c>
      <c r="H32" s="30">
        <f t="shared" si="6"/>
        <v>27.753311774285713</v>
      </c>
      <c r="I32" s="30">
        <f t="shared" si="6"/>
        <v>32.378863736666666</v>
      </c>
      <c r="J32" s="30">
        <f t="shared" si="6"/>
        <v>37.00441569904762</v>
      </c>
    </row>
    <row r="33" spans="1:10" x14ac:dyDescent="0.35">
      <c r="A33" s="55" t="s">
        <v>380</v>
      </c>
      <c r="B33" s="56"/>
      <c r="C33" s="34">
        <f>C32+(C32*5.5%)</f>
        <v>4.8799573203119051</v>
      </c>
      <c r="D33" s="34">
        <f t="shared" ref="D33:J33" si="7">D32+(D32*5.5%)</f>
        <v>9.7599146406238102</v>
      </c>
      <c r="E33" s="34">
        <f t="shared" si="7"/>
        <v>14.639871960935714</v>
      </c>
      <c r="F33" s="34">
        <f t="shared" si="7"/>
        <v>19.51982928124762</v>
      </c>
      <c r="G33" s="34">
        <f t="shared" si="7"/>
        <v>24.399786601559526</v>
      </c>
      <c r="H33" s="34">
        <f t="shared" si="7"/>
        <v>29.279743921871429</v>
      </c>
      <c r="I33" s="34">
        <f t="shared" si="7"/>
        <v>34.159701242183331</v>
      </c>
      <c r="J33" s="34">
        <f t="shared" si="7"/>
        <v>39.039658562495241</v>
      </c>
    </row>
    <row r="34" spans="1:10" s="38" customFormat="1" x14ac:dyDescent="0.35">
      <c r="A34" s="49" t="s">
        <v>233</v>
      </c>
      <c r="B34" s="15"/>
      <c r="C34" s="15"/>
      <c r="D34" s="15"/>
      <c r="E34" s="15"/>
      <c r="F34" s="15"/>
      <c r="G34" s="15"/>
    </row>
    <row r="35" spans="1:10" x14ac:dyDescent="0.35">
      <c r="A35" s="15"/>
      <c r="B35" s="14"/>
      <c r="C35" s="14"/>
      <c r="D35" s="14"/>
      <c r="E35" s="14"/>
    </row>
    <row r="36" spans="1:10" x14ac:dyDescent="0.35">
      <c r="A36" s="16" t="s">
        <v>49</v>
      </c>
      <c r="B36" s="56"/>
      <c r="C36" s="47">
        <v>1</v>
      </c>
      <c r="D36" s="47">
        <v>2</v>
      </c>
      <c r="E36" s="47">
        <v>3</v>
      </c>
      <c r="F36" s="47">
        <v>4</v>
      </c>
      <c r="G36" s="48">
        <v>5</v>
      </c>
      <c r="H36" s="48">
        <v>6</v>
      </c>
      <c r="I36" s="48">
        <v>7</v>
      </c>
      <c r="J36" s="48">
        <v>8</v>
      </c>
    </row>
    <row r="37" spans="1:10" x14ac:dyDescent="0.35">
      <c r="A37" s="17" t="s">
        <v>52</v>
      </c>
      <c r="B37" s="56"/>
      <c r="C37" s="24">
        <f>C31-($C$26*C36)</f>
        <v>1.5309799788359788</v>
      </c>
      <c r="D37" s="24">
        <f t="shared" ref="D37:H37" si="8">D31-($C$26*D36)</f>
        <v>3.0619599576719576</v>
      </c>
      <c r="E37" s="24">
        <f t="shared" si="8"/>
        <v>4.5929399365079355</v>
      </c>
      <c r="F37" s="24">
        <f t="shared" si="8"/>
        <v>6.1239199153439152</v>
      </c>
      <c r="G37" s="24">
        <f t="shared" si="8"/>
        <v>7.6548998941798931</v>
      </c>
      <c r="H37" s="24">
        <f t="shared" si="8"/>
        <v>9.1858798730158711</v>
      </c>
      <c r="I37" s="24">
        <f t="shared" ref="I37:J37" si="9">I31-($C$26*I36)</f>
        <v>10.716859851851851</v>
      </c>
      <c r="J37" s="24">
        <f t="shared" si="9"/>
        <v>12.24783983068783</v>
      </c>
    </row>
    <row r="38" spans="1:10" x14ac:dyDescent="0.35">
      <c r="A38" s="17" t="s">
        <v>53</v>
      </c>
      <c r="B38" s="56"/>
      <c r="C38" s="24">
        <f>C32-C31</f>
        <v>1.1808470100000004</v>
      </c>
      <c r="D38" s="24">
        <f t="shared" ref="D38:H38" si="10">D32-D31</f>
        <v>2.3616940200000007</v>
      </c>
      <c r="E38" s="24">
        <f t="shared" si="10"/>
        <v>3.5425410300000006</v>
      </c>
      <c r="F38" s="24">
        <f t="shared" si="10"/>
        <v>4.7233880400000015</v>
      </c>
      <c r="G38" s="24">
        <f t="shared" si="10"/>
        <v>5.904235050000004</v>
      </c>
      <c r="H38" s="24">
        <f t="shared" si="10"/>
        <v>7.0850820600000013</v>
      </c>
      <c r="I38" s="24">
        <f t="shared" ref="I38:J38" si="11">I32-I31</f>
        <v>8.2659290700000021</v>
      </c>
      <c r="J38" s="24">
        <f t="shared" si="11"/>
        <v>9.4467760800000029</v>
      </c>
    </row>
    <row r="39" spans="1:10" s="38" customFormat="1" x14ac:dyDescent="0.35">
      <c r="A39" s="49" t="s">
        <v>234</v>
      </c>
      <c r="B39" s="15"/>
      <c r="C39" s="15"/>
      <c r="D39" s="15"/>
      <c r="E39" s="15"/>
      <c r="F39" s="15"/>
    </row>
    <row r="41" spans="1:10" x14ac:dyDescent="0.35">
      <c r="A41" s="2" t="s">
        <v>236</v>
      </c>
      <c r="B41" s="56"/>
      <c r="C41" s="47">
        <v>1</v>
      </c>
      <c r="D41" s="47">
        <v>2</v>
      </c>
      <c r="E41" s="47">
        <v>3</v>
      </c>
      <c r="F41" s="47">
        <v>4</v>
      </c>
      <c r="G41" s="48">
        <v>5</v>
      </c>
      <c r="H41" s="48">
        <v>6</v>
      </c>
      <c r="I41" s="48">
        <v>7</v>
      </c>
      <c r="J41" s="48">
        <v>8</v>
      </c>
    </row>
    <row r="42" spans="1:10" x14ac:dyDescent="0.35">
      <c r="A42" s="7" t="s">
        <v>238</v>
      </c>
      <c r="B42" s="56"/>
      <c r="C42" s="59">
        <f>IF($D$26=0,0,(C31)/$D$26)</f>
        <v>0.22500000000000001</v>
      </c>
      <c r="D42" s="59">
        <f t="shared" ref="D42:H42" si="12">IF($D$26=0,0,(D31)/$D$26)</f>
        <v>0.45</v>
      </c>
      <c r="E42" s="59">
        <f t="shared" si="12"/>
        <v>0.67500000000000004</v>
      </c>
      <c r="F42" s="59">
        <f t="shared" si="12"/>
        <v>0.9</v>
      </c>
      <c r="G42" s="59">
        <f t="shared" si="12"/>
        <v>1.125</v>
      </c>
      <c r="H42" s="59">
        <f t="shared" si="12"/>
        <v>1.35</v>
      </c>
      <c r="I42" s="59">
        <f t="shared" ref="I42:J42" si="13">IF($D$26=0,0,(I31)/$D$26)</f>
        <v>1.575</v>
      </c>
      <c r="J42" s="59">
        <f t="shared" si="13"/>
        <v>1.8</v>
      </c>
    </row>
    <row r="43" spans="1:10" x14ac:dyDescent="0.35">
      <c r="A43" s="7" t="s">
        <v>237</v>
      </c>
      <c r="B43" s="56"/>
      <c r="C43" s="24">
        <f>C38</f>
        <v>1.1808470100000004</v>
      </c>
      <c r="D43" s="24">
        <f t="shared" ref="D43:H43" si="14">D38</f>
        <v>2.3616940200000007</v>
      </c>
      <c r="E43" s="24">
        <f t="shared" si="14"/>
        <v>3.5425410300000006</v>
      </c>
      <c r="F43" s="24">
        <f t="shared" si="14"/>
        <v>4.7233880400000015</v>
      </c>
      <c r="G43" s="24">
        <f t="shared" si="14"/>
        <v>5.904235050000004</v>
      </c>
      <c r="H43" s="24">
        <f t="shared" si="14"/>
        <v>7.0850820600000013</v>
      </c>
      <c r="I43" s="24">
        <f t="shared" ref="I43:J43" si="15">I38</f>
        <v>8.2659290700000021</v>
      </c>
      <c r="J43" s="24">
        <f t="shared" si="15"/>
        <v>9.4467760800000029</v>
      </c>
    </row>
    <row r="45" spans="1:10" s="60" customFormat="1" x14ac:dyDescent="0.35">
      <c r="A45" s="71" t="s">
        <v>384</v>
      </c>
      <c r="B45" s="76"/>
      <c r="C45" s="111"/>
      <c r="D45" s="111"/>
      <c r="E45" s="111"/>
      <c r="F45" s="111"/>
      <c r="G45" s="111"/>
      <c r="H45" s="111"/>
      <c r="I45" s="111"/>
      <c r="J45" s="111"/>
    </row>
    <row r="46" spans="1:10" s="60" customFormat="1" x14ac:dyDescent="0.35">
      <c r="B46" s="57"/>
      <c r="C46" s="15"/>
      <c r="D46" s="15"/>
      <c r="E46" s="15"/>
      <c r="F46" s="15"/>
      <c r="G46" s="15"/>
      <c r="H46" s="15"/>
      <c r="I46" s="15"/>
      <c r="J46" s="15"/>
    </row>
    <row r="47" spans="1:10" s="60" customFormat="1" ht="43.5" x14ac:dyDescent="0.35">
      <c r="A47" s="109" t="s">
        <v>385</v>
      </c>
      <c r="B47" s="112">
        <v>0.15</v>
      </c>
      <c r="C47" s="48">
        <v>1</v>
      </c>
      <c r="D47" s="48">
        <v>2</v>
      </c>
      <c r="E47" s="48">
        <v>3</v>
      </c>
      <c r="F47" s="48">
        <v>4</v>
      </c>
      <c r="G47" s="48">
        <v>5</v>
      </c>
      <c r="H47" s="48">
        <v>6</v>
      </c>
      <c r="I47" s="48">
        <v>7</v>
      </c>
      <c r="J47" s="48">
        <v>8</v>
      </c>
    </row>
    <row r="48" spans="1:10" s="60" customFormat="1" x14ac:dyDescent="0.35">
      <c r="A48" s="11" t="s">
        <v>382</v>
      </c>
      <c r="B48" s="110"/>
      <c r="C48" s="24">
        <f>($C$26-$C$26*5.5%)*C47</f>
        <v>1.8084700999999996</v>
      </c>
      <c r="D48" s="24">
        <f t="shared" ref="D48:J48" si="16">($C$26-$C$26*5.5%)*D47</f>
        <v>3.6169401999999993</v>
      </c>
      <c r="E48" s="24">
        <f t="shared" si="16"/>
        <v>5.4254102999999994</v>
      </c>
      <c r="F48" s="24">
        <f t="shared" si="16"/>
        <v>7.2338803999999985</v>
      </c>
      <c r="G48" s="24">
        <f t="shared" si="16"/>
        <v>9.0423504999999977</v>
      </c>
      <c r="H48" s="24">
        <f t="shared" si="16"/>
        <v>10.850820599999999</v>
      </c>
      <c r="I48" s="24">
        <f t="shared" si="16"/>
        <v>12.659290699999998</v>
      </c>
      <c r="J48" s="24">
        <f t="shared" si="16"/>
        <v>14.467760799999997</v>
      </c>
    </row>
    <row r="49" spans="1:10" s="60" customFormat="1" x14ac:dyDescent="0.35">
      <c r="A49" s="11" t="s">
        <v>281</v>
      </c>
      <c r="B49" s="16"/>
      <c r="C49" s="115">
        <f>C48*$B$47</f>
        <v>0.27127051499999993</v>
      </c>
      <c r="D49" s="115">
        <f t="shared" ref="D49:J49" si="17">D48*$B$47</f>
        <v>0.54254102999999987</v>
      </c>
      <c r="E49" s="115">
        <f t="shared" si="17"/>
        <v>0.81381154499999986</v>
      </c>
      <c r="F49" s="115">
        <f t="shared" si="17"/>
        <v>1.0850820599999997</v>
      </c>
      <c r="G49" s="115">
        <f t="shared" si="17"/>
        <v>1.3563525749999996</v>
      </c>
      <c r="H49" s="115">
        <f t="shared" si="17"/>
        <v>1.6276230899999997</v>
      </c>
      <c r="I49" s="115">
        <f t="shared" si="17"/>
        <v>1.8988936049999996</v>
      </c>
      <c r="J49" s="115">
        <f t="shared" si="17"/>
        <v>2.1701641199999995</v>
      </c>
    </row>
    <row r="50" spans="1:10" s="60" customFormat="1" x14ac:dyDescent="0.35">
      <c r="B50" s="57"/>
      <c r="C50" s="114"/>
      <c r="D50" s="114"/>
      <c r="E50" s="114"/>
      <c r="F50" s="114"/>
      <c r="G50" s="114"/>
      <c r="H50" s="114"/>
      <c r="I50" s="114"/>
      <c r="J50" s="114"/>
    </row>
    <row r="51" spans="1:10" s="60" customFormat="1" ht="43.5" x14ac:dyDescent="0.35">
      <c r="A51" s="109" t="s">
        <v>394</v>
      </c>
      <c r="B51" s="112">
        <v>0.1</v>
      </c>
      <c r="C51" s="48">
        <v>1</v>
      </c>
      <c r="D51" s="48">
        <v>2</v>
      </c>
      <c r="E51" s="48">
        <v>3</v>
      </c>
      <c r="F51" s="48">
        <v>4</v>
      </c>
      <c r="G51" s="48">
        <v>5</v>
      </c>
      <c r="H51" s="48">
        <v>6</v>
      </c>
      <c r="I51" s="48">
        <v>7</v>
      </c>
      <c r="J51" s="48">
        <v>8</v>
      </c>
    </row>
    <row r="52" spans="1:10" s="60" customFormat="1" x14ac:dyDescent="0.35">
      <c r="A52" s="11" t="s">
        <v>382</v>
      </c>
      <c r="B52" s="16"/>
      <c r="C52" s="24">
        <f>($C$26-$C$26*5.5%)*C51</f>
        <v>1.8084700999999996</v>
      </c>
      <c r="D52" s="24">
        <f t="shared" ref="D52:J52" si="18">($C$26-$C$26*5.5%)*D51</f>
        <v>3.6169401999999993</v>
      </c>
      <c r="E52" s="24">
        <f t="shared" si="18"/>
        <v>5.4254102999999994</v>
      </c>
      <c r="F52" s="24">
        <f t="shared" si="18"/>
        <v>7.2338803999999985</v>
      </c>
      <c r="G52" s="24">
        <f t="shared" si="18"/>
        <v>9.0423504999999977</v>
      </c>
      <c r="H52" s="24">
        <f t="shared" si="18"/>
        <v>10.850820599999999</v>
      </c>
      <c r="I52" s="24">
        <f t="shared" si="18"/>
        <v>12.659290699999998</v>
      </c>
      <c r="J52" s="24">
        <f t="shared" si="18"/>
        <v>14.467760799999997</v>
      </c>
    </row>
    <row r="53" spans="1:10" s="60" customFormat="1" x14ac:dyDescent="0.35">
      <c r="A53" s="11" t="s">
        <v>386</v>
      </c>
      <c r="B53" s="16"/>
      <c r="C53" s="113">
        <f>C52*$B$51</f>
        <v>0.18084700999999997</v>
      </c>
      <c r="D53" s="113">
        <f t="shared" ref="D53:J53" si="19">D52*$B$51</f>
        <v>0.36169401999999995</v>
      </c>
      <c r="E53" s="113">
        <f t="shared" si="19"/>
        <v>0.54254102999999998</v>
      </c>
      <c r="F53" s="113">
        <f t="shared" si="19"/>
        <v>0.7233880399999999</v>
      </c>
      <c r="G53" s="113">
        <f t="shared" si="19"/>
        <v>0.90423504999999982</v>
      </c>
      <c r="H53" s="113">
        <f t="shared" si="19"/>
        <v>1.08508206</v>
      </c>
      <c r="I53" s="113">
        <f t="shared" si="19"/>
        <v>1.2659290699999999</v>
      </c>
      <c r="J53" s="113">
        <f t="shared" si="19"/>
        <v>1.4467760799999998</v>
      </c>
    </row>
    <row r="54" spans="1:10" s="60" customFormat="1" x14ac:dyDescent="0.35">
      <c r="A54" s="11" t="s">
        <v>387</v>
      </c>
      <c r="B54" s="16"/>
      <c r="C54" s="113">
        <f>C43-C53</f>
        <v>1.0000000000000004</v>
      </c>
      <c r="D54" s="113">
        <f t="shared" ref="D54:J54" si="20">D43-D53</f>
        <v>2.0000000000000009</v>
      </c>
      <c r="E54" s="113">
        <f t="shared" si="20"/>
        <v>3.0000000000000009</v>
      </c>
      <c r="F54" s="113">
        <f t="shared" si="20"/>
        <v>4.0000000000000018</v>
      </c>
      <c r="G54" s="113">
        <f t="shared" si="20"/>
        <v>5.0000000000000044</v>
      </c>
      <c r="H54" s="113">
        <f t="shared" si="20"/>
        <v>6.0000000000000018</v>
      </c>
      <c r="I54" s="113">
        <f t="shared" si="20"/>
        <v>7.0000000000000018</v>
      </c>
      <c r="J54" s="113">
        <f t="shared" si="20"/>
        <v>8.0000000000000036</v>
      </c>
    </row>
    <row r="56" spans="1:10" x14ac:dyDescent="0.35">
      <c r="A56" s="68" t="s">
        <v>416</v>
      </c>
      <c r="B56" s="67"/>
      <c r="C56" s="67"/>
      <c r="D56" s="67"/>
      <c r="E56" s="67"/>
      <c r="F56" s="67"/>
      <c r="G56" s="67"/>
      <c r="H56" s="67"/>
      <c r="I56" s="67"/>
      <c r="J56" s="67"/>
    </row>
    <row r="58" spans="1:10" x14ac:dyDescent="0.35">
      <c r="A58" s="117" t="s">
        <v>389</v>
      </c>
      <c r="B58" s="118"/>
    </row>
    <row r="59" spans="1:10" x14ac:dyDescent="0.35">
      <c r="A59" s="116" t="s">
        <v>393</v>
      </c>
      <c r="B59" s="119">
        <f>J49</f>
        <v>2.1701641199999995</v>
      </c>
    </row>
    <row r="60" spans="1:10" x14ac:dyDescent="0.35">
      <c r="A60" s="42" t="s">
        <v>392</v>
      </c>
      <c r="B60" s="91">
        <f>F43</f>
        <v>4.7233880400000015</v>
      </c>
    </row>
    <row r="61" spans="1:10" x14ac:dyDescent="0.35">
      <c r="A61" s="120" t="s">
        <v>48</v>
      </c>
      <c r="B61" s="13">
        <f>SUM(B59:B60)</f>
        <v>6.8935521600000005</v>
      </c>
    </row>
    <row r="63" spans="1:10" x14ac:dyDescent="0.35">
      <c r="A63" s="117" t="s">
        <v>390</v>
      </c>
      <c r="B63" s="118"/>
    </row>
    <row r="64" spans="1:10" x14ac:dyDescent="0.35">
      <c r="A64" s="116" t="s">
        <v>393</v>
      </c>
      <c r="B64" s="119">
        <f>J49</f>
        <v>2.1701641199999995</v>
      </c>
    </row>
    <row r="65" spans="1:10" x14ac:dyDescent="0.35">
      <c r="A65" s="42" t="s">
        <v>392</v>
      </c>
      <c r="B65" s="91">
        <f>F54</f>
        <v>4.0000000000000018</v>
      </c>
    </row>
    <row r="66" spans="1:10" x14ac:dyDescent="0.35">
      <c r="A66" s="120" t="s">
        <v>48</v>
      </c>
      <c r="B66" s="13">
        <f>SUM(B64:B65)</f>
        <v>6.1701641200000008</v>
      </c>
    </row>
    <row r="67" spans="1:10" x14ac:dyDescent="0.35">
      <c r="A67" s="121"/>
      <c r="B67" s="122"/>
    </row>
    <row r="68" spans="1:10" x14ac:dyDescent="0.35">
      <c r="A68" s="68" t="s">
        <v>422</v>
      </c>
      <c r="B68" s="67"/>
      <c r="C68" s="67"/>
      <c r="D68" s="67"/>
      <c r="E68" s="67"/>
      <c r="F68" s="67"/>
      <c r="G68" s="67"/>
      <c r="H68" s="67"/>
      <c r="I68" s="67"/>
      <c r="J68" s="67"/>
    </row>
    <row r="70" spans="1:10" x14ac:dyDescent="0.35">
      <c r="A70" s="117" t="s">
        <v>389</v>
      </c>
      <c r="B70" s="118"/>
    </row>
    <row r="71" spans="1:10" x14ac:dyDescent="0.35">
      <c r="A71" s="42" t="s">
        <v>405</v>
      </c>
      <c r="B71" s="91">
        <f>D26</f>
        <v>15.309799788359786</v>
      </c>
    </row>
    <row r="72" spans="1:10" x14ac:dyDescent="0.35">
      <c r="A72" s="116" t="s">
        <v>393</v>
      </c>
      <c r="B72" s="119">
        <f>0-J49</f>
        <v>-2.1701641199999995</v>
      </c>
    </row>
    <row r="73" spans="1:10" x14ac:dyDescent="0.35">
      <c r="A73" s="120" t="s">
        <v>48</v>
      </c>
      <c r="B73" s="13">
        <f>SUM(B71:B72)</f>
        <v>13.139635668359787</v>
      </c>
    </row>
    <row r="75" spans="1:10" x14ac:dyDescent="0.35">
      <c r="A75" s="133" t="s">
        <v>390</v>
      </c>
      <c r="B75" s="134"/>
    </row>
    <row r="76" spans="1:10" x14ac:dyDescent="0.35">
      <c r="A76" s="42" t="s">
        <v>405</v>
      </c>
      <c r="B76" s="91">
        <f>D26</f>
        <v>15.309799788359786</v>
      </c>
    </row>
    <row r="77" spans="1:10" x14ac:dyDescent="0.35">
      <c r="A77" s="42" t="s">
        <v>393</v>
      </c>
      <c r="B77" s="91">
        <f>0-J49</f>
        <v>-2.1701641199999995</v>
      </c>
    </row>
    <row r="78" spans="1:10" x14ac:dyDescent="0.35">
      <c r="A78" s="42" t="s">
        <v>406</v>
      </c>
      <c r="B78" s="91">
        <f>F53</f>
        <v>0.7233880399999999</v>
      </c>
    </row>
    <row r="79" spans="1:10" x14ac:dyDescent="0.35">
      <c r="A79" s="120" t="s">
        <v>48</v>
      </c>
      <c r="B79" s="13">
        <f>SUM(B76:B78)</f>
        <v>13.863023708359787</v>
      </c>
    </row>
    <row r="80" spans="1:10" x14ac:dyDescent="0.35">
      <c r="A80" s="121"/>
      <c r="B80" s="122"/>
    </row>
    <row r="81" spans="1:2" x14ac:dyDescent="0.35">
      <c r="A81" s="121"/>
      <c r="B81" s="122"/>
    </row>
    <row r="82" spans="1:2" x14ac:dyDescent="0.35">
      <c r="A82" s="37" t="s">
        <v>96</v>
      </c>
      <c r="B82" s="38"/>
    </row>
    <row r="85" spans="1:2" x14ac:dyDescent="0.35">
      <c r="A85" s="2" t="s">
        <v>67</v>
      </c>
      <c r="B85" s="7"/>
    </row>
    <row r="86" spans="1:2" x14ac:dyDescent="0.35">
      <c r="A86" s="7" t="s">
        <v>116</v>
      </c>
      <c r="B86" s="7">
        <v>20</v>
      </c>
    </row>
    <row r="87" spans="1:2" x14ac:dyDescent="0.35">
      <c r="A87" s="7" t="s">
        <v>140</v>
      </c>
      <c r="B87" s="7"/>
    </row>
    <row r="89" spans="1:2" x14ac:dyDescent="0.35">
      <c r="A89" s="39" t="s">
        <v>115</v>
      </c>
      <c r="B89" s="40"/>
    </row>
    <row r="91" spans="1:2" x14ac:dyDescent="0.35">
      <c r="A91" t="s">
        <v>333</v>
      </c>
    </row>
    <row r="92" spans="1:2" x14ac:dyDescent="0.35">
      <c r="A92" t="s">
        <v>334</v>
      </c>
    </row>
    <row r="93" spans="1:2" x14ac:dyDescent="0.35">
      <c r="A93" t="s">
        <v>335</v>
      </c>
    </row>
    <row r="94" spans="1:2" x14ac:dyDescent="0.35">
      <c r="A94" t="s">
        <v>336</v>
      </c>
    </row>
    <row r="95" spans="1:2" x14ac:dyDescent="0.35">
      <c r="A95" t="s">
        <v>337</v>
      </c>
    </row>
    <row r="96" spans="1:2" x14ac:dyDescent="0.35">
      <c r="A96" t="s">
        <v>338</v>
      </c>
    </row>
    <row r="98" spans="1:1" x14ac:dyDescent="0.35">
      <c r="A98" t="s">
        <v>339</v>
      </c>
    </row>
    <row r="99" spans="1:1" x14ac:dyDescent="0.35">
      <c r="A99" t="s">
        <v>340</v>
      </c>
    </row>
  </sheetData>
  <phoneticPr fontId="5" type="noConversion"/>
  <conditionalFormatting sqref="C42:J42">
    <cfRule type="cellIs" dxfId="160" priority="7" operator="greaterThanOrEqual">
      <formula>1</formula>
    </cfRule>
    <cfRule type="cellIs" dxfId="159" priority="8" operator="between">
      <formula>0.5</formula>
      <formula>1</formula>
    </cfRule>
  </conditionalFormatting>
  <conditionalFormatting sqref="C43:J43">
    <cfRule type="cellIs" dxfId="158" priority="5" operator="greaterThanOrEqual">
      <formula>4</formula>
    </cfRule>
    <cfRule type="cellIs" dxfId="157" priority="6" operator="greaterThanOrEqual">
      <formula>2</formula>
    </cfRule>
  </conditionalFormatting>
  <conditionalFormatting sqref="C53:J53">
    <cfRule type="cellIs" dxfId="156" priority="4" operator="greaterThanOrEqual">
      <formula>$J$49</formula>
    </cfRule>
  </conditionalFormatting>
  <conditionalFormatting sqref="C54:J54">
    <cfRule type="cellIs" dxfId="155" priority="2" operator="between">
      <formula>2</formula>
      <formula>4</formula>
    </cfRule>
    <cfRule type="cellIs" dxfId="154" priority="3" operator="greaterThanOrEqual">
      <formula>4</formula>
    </cfRule>
  </conditionalFormatting>
  <conditionalFormatting sqref="C49:J49">
    <cfRule type="cellIs" dxfId="153" priority="1" operator="greaterThanOrEqual">
      <formula>0.5</formula>
    </cfRule>
  </conditionalFormatting>
  <dataValidations disablePrompts="1" count="1">
    <dataValidation type="list" allowBlank="1" showInputMessage="1" showErrorMessage="1" sqref="F6 A6:A16">
      <formula1>Ingrédients_recettes</formula1>
    </dataValidation>
  </dataValidations>
  <pageMargins left="0.7" right="0.7" top="0.75" bottom="0.75" header="0.3" footer="0.3"/>
  <pageSetup paperSize="9" scale="59" orientation="portrait" horizontalDpi="4294967293" verticalDpi="4294967293" r:id="rId1"/>
  <extLst>
    <ext xmlns:mx="http://schemas.microsoft.com/office/mac/excel/2008/main" uri="{64002731-A6B0-56B0-2670-7721B7C09600}">
      <mx:PLV Mode="0" OnePage="0" WScale="10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10"/>
  <sheetViews>
    <sheetView topLeftCell="A7" workbookViewId="0">
      <selection activeCell="B12" sqref="B12"/>
    </sheetView>
  </sheetViews>
  <sheetFormatPr baseColWidth="10" defaultRowHeight="14.5" x14ac:dyDescent="0.35"/>
  <cols>
    <col min="1" max="1" width="35.36328125" customWidth="1"/>
    <col min="2" max="2" width="14.6328125" bestFit="1" customWidth="1"/>
    <col min="3" max="3" width="13.1796875" bestFit="1" customWidth="1"/>
    <col min="4" max="4" width="14.36328125" bestFit="1" customWidth="1"/>
    <col min="5" max="5" width="10.1796875" bestFit="1" customWidth="1"/>
    <col min="6" max="6" width="10" customWidth="1"/>
    <col min="7" max="7" width="9.81640625" customWidth="1"/>
    <col min="11" max="11" width="13.36328125" bestFit="1" customWidth="1"/>
  </cols>
  <sheetData>
    <row r="1" spans="1:8" x14ac:dyDescent="0.35">
      <c r="A1" s="43" t="s">
        <v>190</v>
      </c>
      <c r="B1" s="44"/>
      <c r="C1" s="44"/>
      <c r="D1" s="44"/>
      <c r="E1" s="44"/>
      <c r="F1" s="44"/>
      <c r="G1" s="44"/>
      <c r="H1" s="63"/>
    </row>
    <row r="2" spans="1:8" s="38" customFormat="1" x14ac:dyDescent="0.35">
      <c r="A2" s="73"/>
      <c r="B2" s="74"/>
      <c r="C2" s="74"/>
      <c r="D2" s="74"/>
      <c r="E2" s="74"/>
      <c r="F2" s="74"/>
      <c r="G2" s="74"/>
    </row>
    <row r="3" spans="1:8" s="38" customFormat="1" x14ac:dyDescent="0.35">
      <c r="A3" s="68" t="s">
        <v>276</v>
      </c>
      <c r="B3" s="75"/>
      <c r="C3" s="75"/>
      <c r="D3" s="75"/>
      <c r="E3" s="75"/>
      <c r="F3" s="75"/>
      <c r="G3" s="75"/>
      <c r="H3" s="67"/>
    </row>
    <row r="5" spans="1:8" x14ac:dyDescent="0.35">
      <c r="A5" s="2" t="s">
        <v>68</v>
      </c>
      <c r="B5" s="2" t="s">
        <v>41</v>
      </c>
      <c r="C5" s="2" t="s">
        <v>42</v>
      </c>
      <c r="D5" s="2" t="s">
        <v>40</v>
      </c>
    </row>
    <row r="6" spans="1:8" x14ac:dyDescent="0.35">
      <c r="A6" s="7" t="s">
        <v>108</v>
      </c>
      <c r="B6" s="6">
        <v>0.04</v>
      </c>
      <c r="C6" s="31">
        <f t="shared" ref="C6:C16" si="0">IF(ISERROR(VLOOKUP(A6,Tableau_produits,6,FALSE)),0,VLOOKUP(A6,Tableau_produits,6,FALSE))</f>
        <v>7.8533333333333326</v>
      </c>
      <c r="D6" s="32">
        <f>C6*B6</f>
        <v>0.31413333333333332</v>
      </c>
    </row>
    <row r="7" spans="1:8" x14ac:dyDescent="0.35">
      <c r="A7" s="7" t="s">
        <v>107</v>
      </c>
      <c r="B7" s="6">
        <v>0.1</v>
      </c>
      <c r="C7" s="31">
        <f t="shared" si="0"/>
        <v>0</v>
      </c>
      <c r="D7" s="32">
        <f>C7*B7</f>
        <v>0</v>
      </c>
    </row>
    <row r="8" spans="1:8" x14ac:dyDescent="0.35">
      <c r="A8" s="7" t="s">
        <v>184</v>
      </c>
      <c r="B8" s="6">
        <v>0.29399999999999998</v>
      </c>
      <c r="C8" s="31">
        <f t="shared" si="0"/>
        <v>9.8979591836734713</v>
      </c>
      <c r="D8" s="32">
        <f t="shared" ref="D8:D16" si="1">C8*B8</f>
        <v>2.9100000000000006</v>
      </c>
    </row>
    <row r="9" spans="1:8" x14ac:dyDescent="0.35">
      <c r="A9" s="7" t="s">
        <v>186</v>
      </c>
      <c r="B9" s="6">
        <v>0.42599999999999999</v>
      </c>
      <c r="C9" s="31">
        <f t="shared" si="0"/>
        <v>7.910798122065728</v>
      </c>
      <c r="D9" s="32">
        <f t="shared" si="1"/>
        <v>3.37</v>
      </c>
    </row>
    <row r="10" spans="1:8" x14ac:dyDescent="0.35">
      <c r="A10" s="7" t="s">
        <v>185</v>
      </c>
      <c r="B10" s="27">
        <v>0.16800000000000001</v>
      </c>
      <c r="C10" s="31">
        <f t="shared" si="0"/>
        <v>3.9285714285714284</v>
      </c>
      <c r="D10" s="32">
        <f t="shared" si="1"/>
        <v>0.66</v>
      </c>
    </row>
    <row r="11" spans="1:8" x14ac:dyDescent="0.35">
      <c r="A11" s="7" t="s">
        <v>187</v>
      </c>
      <c r="B11" s="22">
        <f>0.05/10</f>
        <v>5.0000000000000001E-3</v>
      </c>
      <c r="C11" s="31">
        <f t="shared" si="0"/>
        <v>37.799999999999997</v>
      </c>
      <c r="D11" s="32">
        <f t="shared" si="1"/>
        <v>0.189</v>
      </c>
    </row>
    <row r="12" spans="1:8" x14ac:dyDescent="0.35">
      <c r="A12" s="7" t="s">
        <v>111</v>
      </c>
      <c r="B12" s="21">
        <v>0.02</v>
      </c>
      <c r="C12" s="31">
        <f t="shared" si="0"/>
        <v>4.9800000000000004</v>
      </c>
      <c r="D12" s="33">
        <f t="shared" si="1"/>
        <v>9.9600000000000008E-2</v>
      </c>
    </row>
    <row r="13" spans="1:8" x14ac:dyDescent="0.35">
      <c r="A13" s="7" t="s">
        <v>136</v>
      </c>
      <c r="B13" s="21">
        <v>0.01</v>
      </c>
      <c r="C13" s="31">
        <f t="shared" si="0"/>
        <v>94.199999999999989</v>
      </c>
      <c r="D13" s="33">
        <f t="shared" si="1"/>
        <v>0.94199999999999995</v>
      </c>
    </row>
    <row r="14" spans="1:8" x14ac:dyDescent="0.35">
      <c r="A14" s="7" t="s">
        <v>188</v>
      </c>
      <c r="B14" s="27">
        <v>0.4</v>
      </c>
      <c r="C14" s="31">
        <f t="shared" si="0"/>
        <v>2.5</v>
      </c>
      <c r="D14" s="33">
        <f t="shared" si="1"/>
        <v>1</v>
      </c>
    </row>
    <row r="15" spans="1:8" x14ac:dyDescent="0.35">
      <c r="A15" s="7" t="s">
        <v>105</v>
      </c>
      <c r="B15" s="21">
        <v>0.1</v>
      </c>
      <c r="C15" s="31">
        <f t="shared" si="0"/>
        <v>3.1006493506493507</v>
      </c>
      <c r="D15" s="33">
        <f t="shared" si="1"/>
        <v>0.3100649350649351</v>
      </c>
    </row>
    <row r="16" spans="1:8" x14ac:dyDescent="0.35">
      <c r="A16" s="7" t="s">
        <v>189</v>
      </c>
      <c r="B16" s="21">
        <v>0.2</v>
      </c>
      <c r="C16" s="31">
        <f t="shared" si="0"/>
        <v>8.9</v>
      </c>
      <c r="D16" s="33">
        <f t="shared" si="1"/>
        <v>1.7800000000000002</v>
      </c>
    </row>
    <row r="17" spans="1:10" x14ac:dyDescent="0.35">
      <c r="A17" s="13" t="s">
        <v>48</v>
      </c>
      <c r="B17" s="13"/>
      <c r="C17" s="13"/>
      <c r="D17" s="34">
        <f>SUM(D6:D16)</f>
        <v>11.574798268398268</v>
      </c>
    </row>
    <row r="18" spans="1:10" x14ac:dyDescent="0.35">
      <c r="A18" s="34" t="str">
        <f>"Coût par portion ("&amp;ROUND(C21*1000,0)&amp;"g)"</f>
        <v>Coût par portion (0g)</v>
      </c>
      <c r="B18" s="13"/>
      <c r="C18" s="13"/>
      <c r="D18" s="34">
        <f>IF(E21=0,0,D17/E21)</f>
        <v>1.9291330447330448</v>
      </c>
    </row>
    <row r="19" spans="1:10" s="38" customFormat="1" x14ac:dyDescent="0.35">
      <c r="A19" s="57"/>
      <c r="B19" s="57"/>
      <c r="C19" s="57"/>
      <c r="D19" s="57"/>
    </row>
    <row r="20" spans="1:10" s="38" customFormat="1" ht="43.5" x14ac:dyDescent="0.35">
      <c r="A20" s="2" t="s">
        <v>90</v>
      </c>
      <c r="B20" s="28" t="s">
        <v>91</v>
      </c>
      <c r="C20" s="28" t="s">
        <v>94</v>
      </c>
      <c r="D20" s="28" t="s">
        <v>92</v>
      </c>
      <c r="E20" s="28" t="s">
        <v>95</v>
      </c>
    </row>
    <row r="21" spans="1:10" s="38" customFormat="1" x14ac:dyDescent="0.35">
      <c r="A21" s="7" t="s">
        <v>93</v>
      </c>
      <c r="B21" s="7"/>
      <c r="C21" s="7">
        <v>0</v>
      </c>
      <c r="D21" s="30">
        <v>6</v>
      </c>
      <c r="E21" s="35">
        <f>TRUNC(D21)</f>
        <v>6</v>
      </c>
    </row>
    <row r="22" spans="1:10" s="38" customFormat="1" x14ac:dyDescent="0.35">
      <c r="A22" s="57"/>
      <c r="B22" s="57"/>
      <c r="C22" s="57"/>
      <c r="D22" s="57"/>
    </row>
    <row r="23" spans="1:10" s="38" customFormat="1" x14ac:dyDescent="0.35">
      <c r="A23" s="71" t="s">
        <v>277</v>
      </c>
      <c r="B23" s="76"/>
      <c r="C23" s="76"/>
      <c r="D23" s="76"/>
      <c r="E23" s="67"/>
      <c r="F23" s="67"/>
      <c r="G23" s="67"/>
      <c r="H23" s="67"/>
    </row>
    <row r="24" spans="1:10" s="38" customFormat="1" x14ac:dyDescent="0.35">
      <c r="A24" s="57"/>
      <c r="B24" s="57"/>
      <c r="C24" s="57"/>
      <c r="D24" s="57"/>
    </row>
    <row r="25" spans="1:10" s="38" customFormat="1" x14ac:dyDescent="0.35">
      <c r="A25" s="16" t="s">
        <v>273</v>
      </c>
      <c r="B25" s="2" t="s">
        <v>267</v>
      </c>
      <c r="C25" s="2" t="s">
        <v>268</v>
      </c>
      <c r="D25" s="2" t="s">
        <v>269</v>
      </c>
    </row>
    <row r="26" spans="1:10" s="38" customFormat="1" x14ac:dyDescent="0.35">
      <c r="A26" s="7" t="s">
        <v>278</v>
      </c>
      <c r="B26" s="78">
        <v>8</v>
      </c>
      <c r="C26" s="24">
        <f>D18</f>
        <v>1.9291330447330448</v>
      </c>
      <c r="D26" s="35">
        <f>C26*B26</f>
        <v>15.433064357864358</v>
      </c>
    </row>
    <row r="27" spans="1:10" s="38" customFormat="1" x14ac:dyDescent="0.35">
      <c r="A27" s="7" t="s">
        <v>279</v>
      </c>
      <c r="B27" s="78">
        <v>4</v>
      </c>
      <c r="C27" s="24">
        <f>C26</f>
        <v>1.9291330447330448</v>
      </c>
      <c r="D27" s="35">
        <f>C27*B27</f>
        <v>7.7165321789321792</v>
      </c>
    </row>
    <row r="28" spans="1:10" s="38" customFormat="1" x14ac:dyDescent="0.35">
      <c r="A28" s="7" t="s">
        <v>280</v>
      </c>
      <c r="B28" s="72">
        <f>B26-B27</f>
        <v>4</v>
      </c>
      <c r="C28" s="66">
        <f>(D28/B28)*90%</f>
        <v>3.4724394805194807</v>
      </c>
      <c r="D28" s="35">
        <f>D26</f>
        <v>15.433064357864358</v>
      </c>
      <c r="F28" s="83"/>
    </row>
    <row r="29" spans="1:10" s="38" customFormat="1" x14ac:dyDescent="0.35">
      <c r="A29" s="57"/>
      <c r="B29" s="57"/>
      <c r="C29" s="57"/>
      <c r="D29" s="57"/>
    </row>
    <row r="30" spans="1:10" x14ac:dyDescent="0.35">
      <c r="A30" s="16" t="s">
        <v>275</v>
      </c>
      <c r="B30" s="50" t="s">
        <v>235</v>
      </c>
      <c r="C30" s="2">
        <v>1</v>
      </c>
      <c r="D30" s="2">
        <v>2</v>
      </c>
      <c r="E30" s="2">
        <v>3</v>
      </c>
      <c r="F30" s="2">
        <v>4</v>
      </c>
      <c r="G30" s="23">
        <v>5</v>
      </c>
      <c r="H30" s="23">
        <v>6</v>
      </c>
      <c r="I30" s="23">
        <v>7</v>
      </c>
      <c r="J30" s="23">
        <v>8</v>
      </c>
    </row>
    <row r="31" spans="1:10" x14ac:dyDescent="0.35">
      <c r="A31" s="17" t="s">
        <v>51</v>
      </c>
      <c r="B31" s="53"/>
      <c r="C31" s="24">
        <f>$C$28*C30</f>
        <v>3.4724394805194807</v>
      </c>
      <c r="D31" s="24">
        <f t="shared" ref="D31:J31" si="2">$C$28*D30</f>
        <v>6.9448789610389614</v>
      </c>
      <c r="E31" s="24">
        <f t="shared" si="2"/>
        <v>10.417318441558443</v>
      </c>
      <c r="F31" s="24">
        <f t="shared" si="2"/>
        <v>13.889757922077923</v>
      </c>
      <c r="G31" s="24">
        <f t="shared" si="2"/>
        <v>17.362197402597403</v>
      </c>
      <c r="H31" s="24">
        <f t="shared" si="2"/>
        <v>20.834636883116886</v>
      </c>
      <c r="I31" s="24">
        <f t="shared" si="2"/>
        <v>24.307076363636366</v>
      </c>
      <c r="J31" s="24">
        <f t="shared" si="2"/>
        <v>27.779515844155846</v>
      </c>
    </row>
    <row r="32" spans="1:10" x14ac:dyDescent="0.35">
      <c r="A32" s="16" t="s">
        <v>391</v>
      </c>
      <c r="B32" s="54">
        <v>1</v>
      </c>
      <c r="C32" s="24">
        <f>(($C$31+$B$32)+$C$53)*C30</f>
        <v>4.6547425532467539</v>
      </c>
      <c r="D32" s="24">
        <f t="shared" ref="D32:J32" si="3">(($C$31+$B$32)+$C$53)*D30</f>
        <v>9.3094851064935078</v>
      </c>
      <c r="E32" s="24">
        <f t="shared" si="3"/>
        <v>13.964227659740262</v>
      </c>
      <c r="F32" s="24">
        <f t="shared" si="3"/>
        <v>18.618970212987016</v>
      </c>
      <c r="G32" s="24">
        <f t="shared" si="3"/>
        <v>23.273712766233771</v>
      </c>
      <c r="H32" s="24">
        <f t="shared" si="3"/>
        <v>27.928455319480523</v>
      </c>
      <c r="I32" s="24">
        <f t="shared" si="3"/>
        <v>32.583197872727276</v>
      </c>
      <c r="J32" s="24">
        <f t="shared" si="3"/>
        <v>37.237940425974031</v>
      </c>
    </row>
    <row r="33" spans="1:10" x14ac:dyDescent="0.35">
      <c r="A33" s="55" t="s">
        <v>380</v>
      </c>
      <c r="B33" s="56"/>
      <c r="C33" s="34">
        <f>C32+(C32*5.5%)</f>
        <v>4.9107533936753249</v>
      </c>
      <c r="D33" s="34">
        <f t="shared" ref="D33:J33" si="4">D32+(D32*5.5%)</f>
        <v>9.8215067873506499</v>
      </c>
      <c r="E33" s="34">
        <f t="shared" si="4"/>
        <v>14.732260181025977</v>
      </c>
      <c r="F33" s="34">
        <f t="shared" si="4"/>
        <v>19.6430135747013</v>
      </c>
      <c r="G33" s="34">
        <f t="shared" si="4"/>
        <v>24.553766968376628</v>
      </c>
      <c r="H33" s="34">
        <f t="shared" si="4"/>
        <v>29.464520362051953</v>
      </c>
      <c r="I33" s="34">
        <f t="shared" si="4"/>
        <v>34.375273755727278</v>
      </c>
      <c r="J33" s="34">
        <f t="shared" si="4"/>
        <v>39.286027149402599</v>
      </c>
    </row>
    <row r="34" spans="1:10" s="38" customFormat="1" x14ac:dyDescent="0.35">
      <c r="A34" s="49" t="s">
        <v>233</v>
      </c>
      <c r="B34" s="49"/>
      <c r="C34" s="15"/>
      <c r="D34" s="15"/>
      <c r="E34" s="15"/>
      <c r="F34" s="15"/>
      <c r="G34" s="15"/>
      <c r="H34" s="15"/>
    </row>
    <row r="35" spans="1:10" x14ac:dyDescent="0.35">
      <c r="A35" s="15"/>
      <c r="B35" s="15"/>
      <c r="C35" s="14"/>
      <c r="D35" s="14"/>
      <c r="E35" s="14"/>
      <c r="F35" s="14"/>
    </row>
    <row r="36" spans="1:10" x14ac:dyDescent="0.35">
      <c r="A36" s="16" t="s">
        <v>49</v>
      </c>
      <c r="B36" s="51"/>
      <c r="C36" s="18">
        <v>1</v>
      </c>
      <c r="D36" s="18">
        <v>2</v>
      </c>
      <c r="E36" s="18">
        <v>3</v>
      </c>
      <c r="F36" s="18">
        <v>4</v>
      </c>
      <c r="G36" s="25">
        <v>5</v>
      </c>
      <c r="H36" s="25">
        <v>6</v>
      </c>
      <c r="I36" s="25">
        <v>7</v>
      </c>
      <c r="J36" s="25">
        <v>8</v>
      </c>
    </row>
    <row r="37" spans="1:10" x14ac:dyDescent="0.35">
      <c r="A37" s="17" t="s">
        <v>52</v>
      </c>
      <c r="B37" s="52"/>
      <c r="C37" s="24">
        <f>C31-($C$26*C36)</f>
        <v>1.5433064357864359</v>
      </c>
      <c r="D37" s="24">
        <f t="shared" ref="D37:H37" si="5">D31-($C$26*D36)</f>
        <v>3.0866128715728718</v>
      </c>
      <c r="E37" s="24">
        <f t="shared" si="5"/>
        <v>4.6299193073593088</v>
      </c>
      <c r="F37" s="24">
        <f t="shared" si="5"/>
        <v>6.1732257431457436</v>
      </c>
      <c r="G37" s="24">
        <f t="shared" si="5"/>
        <v>7.7165321789321784</v>
      </c>
      <c r="H37" s="24">
        <f t="shared" si="5"/>
        <v>9.2598386147186176</v>
      </c>
      <c r="I37" s="24">
        <f t="shared" ref="I37:J37" si="6">I31-($C$26*I36)</f>
        <v>10.803145050505051</v>
      </c>
      <c r="J37" s="24">
        <f t="shared" si="6"/>
        <v>12.346451486291487</v>
      </c>
    </row>
    <row r="38" spans="1:10" x14ac:dyDescent="0.35">
      <c r="A38" s="17" t="s">
        <v>53</v>
      </c>
      <c r="B38" s="52"/>
      <c r="C38" s="24">
        <f t="shared" ref="C38:H38" si="7">C32-C31</f>
        <v>1.1823030727272732</v>
      </c>
      <c r="D38" s="24">
        <f t="shared" si="7"/>
        <v>2.3646061454545464</v>
      </c>
      <c r="E38" s="24">
        <f t="shared" si="7"/>
        <v>3.5469092181818187</v>
      </c>
      <c r="F38" s="24">
        <f t="shared" si="7"/>
        <v>4.7292122909090928</v>
      </c>
      <c r="G38" s="24">
        <f t="shared" si="7"/>
        <v>5.9115153636363686</v>
      </c>
      <c r="H38" s="24">
        <f t="shared" si="7"/>
        <v>7.0938184363636374</v>
      </c>
      <c r="I38" s="24">
        <f t="shared" ref="I38:J38" si="8">I32-I31</f>
        <v>8.2761215090909097</v>
      </c>
      <c r="J38" s="24">
        <f t="shared" si="8"/>
        <v>9.4584245818181856</v>
      </c>
    </row>
    <row r="39" spans="1:10" x14ac:dyDescent="0.35">
      <c r="A39" s="49" t="s">
        <v>234</v>
      </c>
    </row>
    <row r="41" spans="1:10" x14ac:dyDescent="0.35">
      <c r="A41" s="2" t="s">
        <v>236</v>
      </c>
      <c r="B41" s="56"/>
      <c r="C41" s="47">
        <v>1</v>
      </c>
      <c r="D41" s="47">
        <v>2</v>
      </c>
      <c r="E41" s="47">
        <v>3</v>
      </c>
      <c r="F41" s="47">
        <v>4</v>
      </c>
      <c r="G41" s="48">
        <v>5</v>
      </c>
      <c r="H41" s="48">
        <v>6</v>
      </c>
      <c r="I41" s="48">
        <v>7</v>
      </c>
      <c r="J41" s="48">
        <v>8</v>
      </c>
    </row>
    <row r="42" spans="1:10" x14ac:dyDescent="0.35">
      <c r="A42" s="7" t="s">
        <v>238</v>
      </c>
      <c r="B42" s="56"/>
      <c r="C42" s="59">
        <f>IF($D$26=0,0,(C31)/$D$26)</f>
        <v>0.22500000000000001</v>
      </c>
      <c r="D42" s="59">
        <f t="shared" ref="D42:H42" si="9">IF($D$26=0,0,(D31)/$D$26)</f>
        <v>0.45</v>
      </c>
      <c r="E42" s="59">
        <f t="shared" si="9"/>
        <v>0.67500000000000004</v>
      </c>
      <c r="F42" s="59">
        <f t="shared" si="9"/>
        <v>0.9</v>
      </c>
      <c r="G42" s="59">
        <f t="shared" si="9"/>
        <v>1.125</v>
      </c>
      <c r="H42" s="59">
        <f t="shared" si="9"/>
        <v>1.35</v>
      </c>
      <c r="I42" s="59">
        <f t="shared" ref="I42:J42" si="10">IF($D$26=0,0,(I31)/$D$26)</f>
        <v>1.5750000000000002</v>
      </c>
      <c r="J42" s="59">
        <f t="shared" si="10"/>
        <v>1.8</v>
      </c>
    </row>
    <row r="43" spans="1:10" x14ac:dyDescent="0.35">
      <c r="A43" s="7" t="s">
        <v>237</v>
      </c>
      <c r="B43" s="56"/>
      <c r="C43" s="24">
        <f>C38</f>
        <v>1.1823030727272732</v>
      </c>
      <c r="D43" s="24">
        <f t="shared" ref="D43:H43" si="11">D38</f>
        <v>2.3646061454545464</v>
      </c>
      <c r="E43" s="24">
        <f t="shared" si="11"/>
        <v>3.5469092181818187</v>
      </c>
      <c r="F43" s="24">
        <f t="shared" si="11"/>
        <v>4.7292122909090928</v>
      </c>
      <c r="G43" s="24">
        <f t="shared" si="11"/>
        <v>5.9115153636363686</v>
      </c>
      <c r="H43" s="24">
        <f t="shared" si="11"/>
        <v>7.0938184363636374</v>
      </c>
      <c r="I43" s="24">
        <f t="shared" ref="I43:J43" si="12">I38</f>
        <v>8.2761215090909097</v>
      </c>
      <c r="J43" s="24">
        <f t="shared" si="12"/>
        <v>9.4584245818181856</v>
      </c>
    </row>
    <row r="45" spans="1:10" s="60" customFormat="1" x14ac:dyDescent="0.35">
      <c r="A45" s="71" t="s">
        <v>384</v>
      </c>
      <c r="B45" s="76"/>
      <c r="C45" s="111"/>
      <c r="D45" s="111"/>
      <c r="E45" s="111"/>
      <c r="F45" s="111"/>
      <c r="G45" s="111"/>
      <c r="H45" s="111"/>
      <c r="I45" s="111"/>
      <c r="J45" s="111"/>
    </row>
    <row r="46" spans="1:10" s="60" customFormat="1" x14ac:dyDescent="0.35">
      <c r="B46" s="57"/>
      <c r="C46" s="15"/>
      <c r="D46" s="15"/>
      <c r="E46" s="15"/>
      <c r="F46" s="15"/>
      <c r="G46" s="15"/>
      <c r="H46" s="15"/>
      <c r="I46" s="15"/>
      <c r="J46" s="15"/>
    </row>
    <row r="47" spans="1:10" s="60" customFormat="1" ht="43.5" x14ac:dyDescent="0.35">
      <c r="A47" s="109" t="s">
        <v>385</v>
      </c>
      <c r="B47" s="112">
        <v>0.15</v>
      </c>
      <c r="C47" s="48">
        <v>1</v>
      </c>
      <c r="D47" s="48">
        <v>2</v>
      </c>
      <c r="E47" s="48">
        <v>3</v>
      </c>
      <c r="F47" s="48">
        <v>4</v>
      </c>
      <c r="G47" s="48">
        <v>5</v>
      </c>
      <c r="H47" s="48">
        <v>6</v>
      </c>
      <c r="I47" s="48">
        <v>7</v>
      </c>
      <c r="J47" s="48">
        <v>8</v>
      </c>
    </row>
    <row r="48" spans="1:10" s="60" customFormat="1" x14ac:dyDescent="0.35">
      <c r="A48" s="11" t="s">
        <v>382</v>
      </c>
      <c r="B48" s="110"/>
      <c r="C48" s="24">
        <f>($C$26-$C$26*5.5%)*C47</f>
        <v>1.8230307272727273</v>
      </c>
      <c r="D48" s="24">
        <f t="shared" ref="D48:J48" si="13">($C$26-$C$26*5.5%)*D47</f>
        <v>3.6460614545454546</v>
      </c>
      <c r="E48" s="24">
        <f t="shared" si="13"/>
        <v>5.4690921818181817</v>
      </c>
      <c r="F48" s="24">
        <f t="shared" si="13"/>
        <v>7.2921229090909092</v>
      </c>
      <c r="G48" s="24">
        <f t="shared" si="13"/>
        <v>9.1151536363636367</v>
      </c>
      <c r="H48" s="24">
        <f t="shared" si="13"/>
        <v>10.938184363636363</v>
      </c>
      <c r="I48" s="24">
        <f t="shared" si="13"/>
        <v>12.761215090909092</v>
      </c>
      <c r="J48" s="24">
        <f t="shared" si="13"/>
        <v>14.584245818181818</v>
      </c>
    </row>
    <row r="49" spans="1:10" s="60" customFormat="1" x14ac:dyDescent="0.35">
      <c r="A49" s="11" t="s">
        <v>281</v>
      </c>
      <c r="B49" s="16"/>
      <c r="C49" s="115">
        <f>C48*$B$47</f>
        <v>0.27345460909090907</v>
      </c>
      <c r="D49" s="115">
        <f t="shared" ref="D49:J49" si="14">D48*$B$47</f>
        <v>0.54690921818181815</v>
      </c>
      <c r="E49" s="115">
        <f t="shared" si="14"/>
        <v>0.82036382727272728</v>
      </c>
      <c r="F49" s="115">
        <f t="shared" si="14"/>
        <v>1.0938184363636363</v>
      </c>
      <c r="G49" s="115">
        <f t="shared" si="14"/>
        <v>1.3672730454545454</v>
      </c>
      <c r="H49" s="115">
        <f t="shared" si="14"/>
        <v>1.6407276545454546</v>
      </c>
      <c r="I49" s="115">
        <f t="shared" si="14"/>
        <v>1.9141822636363637</v>
      </c>
      <c r="J49" s="115">
        <f t="shared" si="14"/>
        <v>2.1876368727272726</v>
      </c>
    </row>
    <row r="50" spans="1:10" s="60" customFormat="1" x14ac:dyDescent="0.35">
      <c r="B50" s="57"/>
      <c r="C50" s="114"/>
      <c r="D50" s="114"/>
      <c r="E50" s="114"/>
      <c r="F50" s="114"/>
      <c r="G50" s="114"/>
      <c r="H50" s="114"/>
      <c r="I50" s="114"/>
      <c r="J50" s="114"/>
    </row>
    <row r="51" spans="1:10" s="60" customFormat="1" ht="43.5" x14ac:dyDescent="0.35">
      <c r="A51" s="109" t="s">
        <v>394</v>
      </c>
      <c r="B51" s="112">
        <v>0.1</v>
      </c>
      <c r="C51" s="48">
        <v>1</v>
      </c>
      <c r="D51" s="48">
        <v>2</v>
      </c>
      <c r="E51" s="48">
        <v>3</v>
      </c>
      <c r="F51" s="48">
        <v>4</v>
      </c>
      <c r="G51" s="48">
        <v>5</v>
      </c>
      <c r="H51" s="48">
        <v>6</v>
      </c>
      <c r="I51" s="48">
        <v>7</v>
      </c>
      <c r="J51" s="48">
        <v>8</v>
      </c>
    </row>
    <row r="52" spans="1:10" s="60" customFormat="1" x14ac:dyDescent="0.35">
      <c r="A52" s="11" t="s">
        <v>382</v>
      </c>
      <c r="B52" s="16"/>
      <c r="C52" s="24">
        <f>($C$26-$C$26*5.5%)*C51</f>
        <v>1.8230307272727273</v>
      </c>
      <c r="D52" s="24">
        <f t="shared" ref="D52:J52" si="15">($C$26-$C$26*5.5%)*D51</f>
        <v>3.6460614545454546</v>
      </c>
      <c r="E52" s="24">
        <f t="shared" si="15"/>
        <v>5.4690921818181817</v>
      </c>
      <c r="F52" s="24">
        <f t="shared" si="15"/>
        <v>7.2921229090909092</v>
      </c>
      <c r="G52" s="24">
        <f t="shared" si="15"/>
        <v>9.1151536363636367</v>
      </c>
      <c r="H52" s="24">
        <f t="shared" si="15"/>
        <v>10.938184363636363</v>
      </c>
      <c r="I52" s="24">
        <f t="shared" si="15"/>
        <v>12.761215090909092</v>
      </c>
      <c r="J52" s="24">
        <f t="shared" si="15"/>
        <v>14.584245818181818</v>
      </c>
    </row>
    <row r="53" spans="1:10" s="60" customFormat="1" x14ac:dyDescent="0.35">
      <c r="A53" s="11" t="s">
        <v>386</v>
      </c>
      <c r="B53" s="16"/>
      <c r="C53" s="113">
        <f>C52*$B$51</f>
        <v>0.18230307272727275</v>
      </c>
      <c r="D53" s="113">
        <f t="shared" ref="D53:J53" si="16">D52*$B$51</f>
        <v>0.3646061454545455</v>
      </c>
      <c r="E53" s="113">
        <f t="shared" si="16"/>
        <v>0.54690921818181815</v>
      </c>
      <c r="F53" s="113">
        <f t="shared" si="16"/>
        <v>0.72921229090909101</v>
      </c>
      <c r="G53" s="113">
        <f t="shared" si="16"/>
        <v>0.91151536363636376</v>
      </c>
      <c r="H53" s="113">
        <f t="shared" si="16"/>
        <v>1.0938184363636363</v>
      </c>
      <c r="I53" s="113">
        <f t="shared" si="16"/>
        <v>1.2761215090909093</v>
      </c>
      <c r="J53" s="113">
        <f t="shared" si="16"/>
        <v>1.458424581818182</v>
      </c>
    </row>
    <row r="54" spans="1:10" s="60" customFormat="1" x14ac:dyDescent="0.35">
      <c r="A54" s="11" t="s">
        <v>387</v>
      </c>
      <c r="B54" s="16"/>
      <c r="C54" s="113">
        <f>C43-C53</f>
        <v>1.0000000000000004</v>
      </c>
      <c r="D54" s="113">
        <f t="shared" ref="D54:J54" si="17">D43-D53</f>
        <v>2.0000000000000009</v>
      </c>
      <c r="E54" s="113">
        <f t="shared" si="17"/>
        <v>3.0000000000000004</v>
      </c>
      <c r="F54" s="113">
        <f t="shared" si="17"/>
        <v>4.0000000000000018</v>
      </c>
      <c r="G54" s="113">
        <f t="shared" si="17"/>
        <v>5.0000000000000053</v>
      </c>
      <c r="H54" s="113">
        <f t="shared" si="17"/>
        <v>6.0000000000000009</v>
      </c>
      <c r="I54" s="113">
        <f t="shared" si="17"/>
        <v>7</v>
      </c>
      <c r="J54" s="113">
        <f t="shared" si="17"/>
        <v>8.0000000000000036</v>
      </c>
    </row>
    <row r="56" spans="1:10" x14ac:dyDescent="0.35">
      <c r="A56" s="68" t="s">
        <v>416</v>
      </c>
      <c r="B56" s="67"/>
      <c r="C56" s="67"/>
      <c r="D56" s="67"/>
      <c r="E56" s="67"/>
      <c r="F56" s="67"/>
      <c r="G56" s="67"/>
      <c r="H56" s="67"/>
      <c r="I56" s="67"/>
      <c r="J56" s="67"/>
    </row>
    <row r="58" spans="1:10" x14ac:dyDescent="0.35">
      <c r="A58" s="117" t="s">
        <v>389</v>
      </c>
      <c r="B58" s="118"/>
    </row>
    <row r="59" spans="1:10" x14ac:dyDescent="0.35">
      <c r="A59" s="116" t="s">
        <v>393</v>
      </c>
      <c r="B59" s="119">
        <f>J49</f>
        <v>2.1876368727272726</v>
      </c>
    </row>
    <row r="60" spans="1:10" x14ac:dyDescent="0.35">
      <c r="A60" s="42" t="s">
        <v>392</v>
      </c>
      <c r="B60" s="91">
        <f>F43</f>
        <v>4.7292122909090928</v>
      </c>
    </row>
    <row r="61" spans="1:10" x14ac:dyDescent="0.35">
      <c r="A61" s="120" t="s">
        <v>48</v>
      </c>
      <c r="B61" s="13">
        <f>SUM(B59:B60)</f>
        <v>6.9168491636363658</v>
      </c>
    </row>
    <row r="63" spans="1:10" x14ac:dyDescent="0.35">
      <c r="A63" s="117" t="s">
        <v>390</v>
      </c>
      <c r="B63" s="118"/>
    </row>
    <row r="64" spans="1:10" x14ac:dyDescent="0.35">
      <c r="A64" s="116" t="s">
        <v>393</v>
      </c>
      <c r="B64" s="119">
        <f>J49</f>
        <v>2.1876368727272726</v>
      </c>
    </row>
    <row r="65" spans="1:10" x14ac:dyDescent="0.35">
      <c r="A65" s="42" t="s">
        <v>392</v>
      </c>
      <c r="B65" s="91">
        <f>F54</f>
        <v>4.0000000000000018</v>
      </c>
    </row>
    <row r="66" spans="1:10" x14ac:dyDescent="0.35">
      <c r="A66" s="120" t="s">
        <v>48</v>
      </c>
      <c r="B66" s="13">
        <f>SUM(B64:B65)</f>
        <v>6.1876368727272748</v>
      </c>
    </row>
    <row r="68" spans="1:10" x14ac:dyDescent="0.35">
      <c r="A68" s="68" t="s">
        <v>422</v>
      </c>
      <c r="B68" s="67"/>
      <c r="C68" s="67"/>
      <c r="D68" s="67"/>
      <c r="E68" s="67"/>
      <c r="F68" s="67"/>
      <c r="G68" s="67"/>
      <c r="H68" s="67"/>
      <c r="I68" s="67"/>
      <c r="J68" s="67"/>
    </row>
    <row r="70" spans="1:10" x14ac:dyDescent="0.35">
      <c r="A70" s="117" t="s">
        <v>389</v>
      </c>
      <c r="B70" s="118"/>
    </row>
    <row r="71" spans="1:10" x14ac:dyDescent="0.35">
      <c r="A71" s="42" t="s">
        <v>405</v>
      </c>
      <c r="B71" s="91">
        <f>D26</f>
        <v>15.433064357864358</v>
      </c>
    </row>
    <row r="72" spans="1:10" x14ac:dyDescent="0.35">
      <c r="A72" s="116" t="s">
        <v>393</v>
      </c>
      <c r="B72" s="119">
        <f>0-J49</f>
        <v>-2.1876368727272726</v>
      </c>
    </row>
    <row r="73" spans="1:10" x14ac:dyDescent="0.35">
      <c r="A73" s="120" t="s">
        <v>48</v>
      </c>
      <c r="B73" s="13">
        <f>SUM(B71:B72)</f>
        <v>13.245427485137085</v>
      </c>
    </row>
    <row r="75" spans="1:10" x14ac:dyDescent="0.35">
      <c r="A75" s="133" t="s">
        <v>390</v>
      </c>
      <c r="B75" s="134"/>
    </row>
    <row r="76" spans="1:10" x14ac:dyDescent="0.35">
      <c r="A76" s="42" t="s">
        <v>405</v>
      </c>
      <c r="B76" s="91">
        <f>D26</f>
        <v>15.433064357864358</v>
      </c>
    </row>
    <row r="77" spans="1:10" x14ac:dyDescent="0.35">
      <c r="A77" s="42" t="s">
        <v>393</v>
      </c>
      <c r="B77" s="91">
        <f>0-J49</f>
        <v>-2.1876368727272726</v>
      </c>
    </row>
    <row r="78" spans="1:10" x14ac:dyDescent="0.35">
      <c r="A78" s="42" t="s">
        <v>406</v>
      </c>
      <c r="B78" s="91">
        <f>F53</f>
        <v>0.72921229090909101</v>
      </c>
    </row>
    <row r="79" spans="1:10" x14ac:dyDescent="0.35">
      <c r="A79" s="120" t="s">
        <v>48</v>
      </c>
      <c r="B79" s="13">
        <f>SUM(B76:B78)</f>
        <v>13.974639776046176</v>
      </c>
    </row>
    <row r="81" spans="1:2" x14ac:dyDescent="0.35">
      <c r="A81" s="37" t="s">
        <v>96</v>
      </c>
      <c r="B81" s="38"/>
    </row>
    <row r="84" spans="1:2" x14ac:dyDescent="0.35">
      <c r="A84" s="2" t="s">
        <v>67</v>
      </c>
      <c r="B84" s="7"/>
    </row>
    <row r="85" spans="1:2" x14ac:dyDescent="0.35">
      <c r="A85" s="7" t="s">
        <v>116</v>
      </c>
      <c r="B85" s="7">
        <v>20</v>
      </c>
    </row>
    <row r="86" spans="1:2" x14ac:dyDescent="0.35">
      <c r="A86" s="7" t="s">
        <v>140</v>
      </c>
      <c r="B86" s="7">
        <v>180</v>
      </c>
    </row>
    <row r="88" spans="1:2" x14ac:dyDescent="0.35">
      <c r="A88" s="39" t="s">
        <v>115</v>
      </c>
      <c r="B88" s="40"/>
    </row>
    <row r="90" spans="1:2" x14ac:dyDescent="0.35">
      <c r="A90" t="s">
        <v>191</v>
      </c>
    </row>
    <row r="91" spans="1:2" x14ac:dyDescent="0.35">
      <c r="A91" t="s">
        <v>192</v>
      </c>
    </row>
    <row r="92" spans="1:2" x14ac:dyDescent="0.35">
      <c r="A92" t="s">
        <v>193</v>
      </c>
    </row>
    <row r="93" spans="1:2" x14ac:dyDescent="0.35">
      <c r="A93" t="s">
        <v>194</v>
      </c>
    </row>
    <row r="94" spans="1:2" x14ac:dyDescent="0.35">
      <c r="A94" t="s">
        <v>195</v>
      </c>
    </row>
    <row r="96" spans="1:2" x14ac:dyDescent="0.35">
      <c r="A96" t="s">
        <v>196</v>
      </c>
    </row>
    <row r="98" spans="1:11" x14ac:dyDescent="0.35">
      <c r="A98" t="s">
        <v>197</v>
      </c>
    </row>
    <row r="99" spans="1:11" x14ac:dyDescent="0.35">
      <c r="A99" t="s">
        <v>198</v>
      </c>
    </row>
    <row r="100" spans="1:11" x14ac:dyDescent="0.35">
      <c r="A100" t="s">
        <v>199</v>
      </c>
    </row>
    <row r="101" spans="1:11" x14ac:dyDescent="0.35">
      <c r="A101" t="s">
        <v>200</v>
      </c>
    </row>
    <row r="102" spans="1:11" x14ac:dyDescent="0.35">
      <c r="A102" t="s">
        <v>201</v>
      </c>
    </row>
    <row r="104" spans="1:11" x14ac:dyDescent="0.35">
      <c r="A104" t="s">
        <v>202</v>
      </c>
    </row>
    <row r="107" spans="1:11" x14ac:dyDescent="0.35">
      <c r="A107" s="1" t="s">
        <v>129</v>
      </c>
    </row>
    <row r="109" spans="1:11" ht="37" customHeight="1" x14ac:dyDescent="0.35">
      <c r="A109" s="155" t="s">
        <v>203</v>
      </c>
      <c r="B109" s="155"/>
      <c r="C109" s="155"/>
      <c r="D109" s="155"/>
      <c r="E109" s="155"/>
      <c r="F109" s="155"/>
      <c r="G109" s="155"/>
      <c r="H109" s="155"/>
      <c r="I109" s="155"/>
      <c r="J109" s="155"/>
      <c r="K109" s="155"/>
    </row>
    <row r="110" spans="1:11" ht="36" customHeight="1" x14ac:dyDescent="0.35">
      <c r="A110" s="155" t="s">
        <v>204</v>
      </c>
      <c r="B110" s="155"/>
      <c r="C110" s="155"/>
      <c r="D110" s="155"/>
      <c r="E110" s="155"/>
      <c r="F110" s="155"/>
      <c r="G110" s="155"/>
      <c r="H110" s="155"/>
      <c r="I110" s="155"/>
      <c r="J110" s="155"/>
      <c r="K110" s="155"/>
    </row>
  </sheetData>
  <mergeCells count="2">
    <mergeCell ref="A109:K109"/>
    <mergeCell ref="A110:K110"/>
  </mergeCells>
  <phoneticPr fontId="5" type="noConversion"/>
  <conditionalFormatting sqref="C43:J43">
    <cfRule type="cellIs" dxfId="152" priority="7" operator="greaterThanOrEqual">
      <formula>4</formula>
    </cfRule>
    <cfRule type="cellIs" dxfId="151" priority="8" operator="greaterThanOrEqual">
      <formula>2</formula>
    </cfRule>
  </conditionalFormatting>
  <conditionalFormatting sqref="C42:J42">
    <cfRule type="cellIs" dxfId="150" priority="5" operator="greaterThanOrEqual">
      <formula>1</formula>
    </cfRule>
    <cfRule type="cellIs" dxfId="149" priority="6" operator="between">
      <formula>0.5</formula>
      <formula>1</formula>
    </cfRule>
  </conditionalFormatting>
  <conditionalFormatting sqref="C53:J53">
    <cfRule type="cellIs" dxfId="148" priority="4" operator="greaterThanOrEqual">
      <formula>$J$49</formula>
    </cfRule>
  </conditionalFormatting>
  <conditionalFormatting sqref="C54:J54">
    <cfRule type="cellIs" dxfId="147" priority="2" operator="between">
      <formula>2</formula>
      <formula>4</formula>
    </cfRule>
    <cfRule type="cellIs" dxfId="146" priority="3" operator="greaterThanOrEqual">
      <formula>4</formula>
    </cfRule>
  </conditionalFormatting>
  <conditionalFormatting sqref="C49:J49">
    <cfRule type="cellIs" dxfId="145" priority="1" operator="greaterThanOrEqual">
      <formula>0.5</formula>
    </cfRule>
  </conditionalFormatting>
  <dataValidations count="1">
    <dataValidation type="list" allowBlank="1" showInputMessage="1" showErrorMessage="1" sqref="F6 A6:A16">
      <formula1>Ingrédients_recettes</formula1>
    </dataValidation>
  </dataValidations>
  <pageMargins left="0.7" right="0.7" top="0.75" bottom="0.75" header="0.3" footer="0.3"/>
  <pageSetup paperSize="9" scale="55" orientation="portrait" horizontalDpi="4294967292" verticalDpi="4294967292"/>
  <extLst>
    <ext xmlns:mx="http://schemas.microsoft.com/office/mac/excel/2008/main" uri="{64002731-A6B0-56B0-2670-7721B7C09600}">
      <mx:PLV Mode="0" OnePage="0" WScale="10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94"/>
  <sheetViews>
    <sheetView workbookViewId="0">
      <selection activeCell="B12" sqref="B12:B13"/>
    </sheetView>
  </sheetViews>
  <sheetFormatPr baseColWidth="10" defaultRowHeight="14.5" x14ac:dyDescent="0.35"/>
  <cols>
    <col min="1" max="1" width="34.1796875" customWidth="1"/>
    <col min="2" max="2" width="14.6328125" bestFit="1" customWidth="1"/>
    <col min="3" max="3" width="13.1796875" bestFit="1" customWidth="1"/>
    <col min="4" max="4" width="14.36328125" bestFit="1" customWidth="1"/>
    <col min="5" max="5" width="10.1796875" bestFit="1" customWidth="1"/>
    <col min="6" max="6" width="10" customWidth="1"/>
    <col min="7" max="7" width="9.81640625" customWidth="1"/>
  </cols>
  <sheetData>
    <row r="1" spans="1:8" x14ac:dyDescent="0.35">
      <c r="A1" s="61" t="s">
        <v>346</v>
      </c>
      <c r="B1" s="62"/>
      <c r="C1" s="62"/>
      <c r="D1" s="62"/>
      <c r="E1" s="62"/>
      <c r="F1" s="62"/>
      <c r="G1" s="62"/>
      <c r="H1" s="63"/>
    </row>
    <row r="2" spans="1:8" s="38" customFormat="1" x14ac:dyDescent="0.35">
      <c r="A2" s="73"/>
      <c r="B2" s="74"/>
      <c r="C2" s="74"/>
      <c r="D2" s="74"/>
      <c r="E2" s="74"/>
      <c r="F2" s="74"/>
      <c r="G2" s="74"/>
    </row>
    <row r="3" spans="1:8" s="38" customFormat="1" x14ac:dyDescent="0.35">
      <c r="A3" s="68" t="s">
        <v>276</v>
      </c>
      <c r="B3" s="75"/>
      <c r="C3" s="75"/>
      <c r="D3" s="75"/>
      <c r="E3" s="67"/>
      <c r="F3" s="67"/>
      <c r="G3" s="67"/>
      <c r="H3" s="67"/>
    </row>
    <row r="5" spans="1:8" x14ac:dyDescent="0.35">
      <c r="A5" s="2" t="s">
        <v>68</v>
      </c>
      <c r="B5" s="2" t="s">
        <v>41</v>
      </c>
      <c r="C5" s="2" t="s">
        <v>42</v>
      </c>
      <c r="D5" s="2" t="s">
        <v>40</v>
      </c>
    </row>
    <row r="6" spans="1:8" x14ac:dyDescent="0.35">
      <c r="A6" s="7" t="s">
        <v>326</v>
      </c>
      <c r="B6" s="6">
        <v>0.625</v>
      </c>
      <c r="C6" s="31">
        <f t="shared" ref="C6:C13" si="0">IF(ISERROR(VLOOKUP(A6,Tableau_produits,6,FALSE)),0,VLOOKUP(A6,Tableau_produits,6,FALSE))</f>
        <v>2.84</v>
      </c>
      <c r="D6" s="32">
        <f>C6*B6</f>
        <v>1.7749999999999999</v>
      </c>
    </row>
    <row r="7" spans="1:8" x14ac:dyDescent="0.35">
      <c r="A7" s="7" t="s">
        <v>300</v>
      </c>
      <c r="B7" s="6">
        <v>0.25</v>
      </c>
      <c r="C7" s="31">
        <f t="shared" si="0"/>
        <v>16.399999999999999</v>
      </c>
      <c r="D7" s="32">
        <f>C7*B7</f>
        <v>4.0999999999999996</v>
      </c>
    </row>
    <row r="8" spans="1:8" x14ac:dyDescent="0.35">
      <c r="A8" s="7" t="s">
        <v>299</v>
      </c>
      <c r="B8" s="6">
        <v>0.2</v>
      </c>
      <c r="C8" s="31">
        <f t="shared" si="0"/>
        <v>6.666666666666667</v>
      </c>
      <c r="D8" s="32">
        <f t="shared" ref="D8:D13" si="1">C8*B8</f>
        <v>1.3333333333333335</v>
      </c>
    </row>
    <row r="9" spans="1:8" x14ac:dyDescent="0.35">
      <c r="A9" s="7" t="s">
        <v>297</v>
      </c>
      <c r="B9" s="6">
        <v>0.6</v>
      </c>
      <c r="C9" s="31">
        <f t="shared" si="0"/>
        <v>3.9</v>
      </c>
      <c r="D9" s="32">
        <f t="shared" si="1"/>
        <v>2.34</v>
      </c>
    </row>
    <row r="10" spans="1:8" x14ac:dyDescent="0.35">
      <c r="A10" s="7" t="s">
        <v>319</v>
      </c>
      <c r="B10" s="10">
        <v>0.14299999999999999</v>
      </c>
      <c r="C10" s="31">
        <f t="shared" si="0"/>
        <v>3.29</v>
      </c>
      <c r="D10" s="32">
        <f t="shared" si="1"/>
        <v>0.47046999999999994</v>
      </c>
    </row>
    <row r="11" spans="1:8" x14ac:dyDescent="0.35">
      <c r="A11" s="7" t="s">
        <v>133</v>
      </c>
      <c r="B11" s="22">
        <f>0.004*2</f>
        <v>8.0000000000000002E-3</v>
      </c>
      <c r="C11" s="31">
        <f t="shared" si="0"/>
        <v>6.8</v>
      </c>
      <c r="D11" s="32">
        <f t="shared" si="1"/>
        <v>5.4399999999999997E-2</v>
      </c>
    </row>
    <row r="12" spans="1:8" x14ac:dyDescent="0.35">
      <c r="A12" s="7" t="s">
        <v>111</v>
      </c>
      <c r="B12" s="10">
        <f>0.001</f>
        <v>1E-3</v>
      </c>
      <c r="C12" s="31">
        <f t="shared" si="0"/>
        <v>4.9800000000000004</v>
      </c>
      <c r="D12" s="33">
        <f t="shared" si="1"/>
        <v>4.9800000000000009E-3</v>
      </c>
    </row>
    <row r="13" spans="1:8" x14ac:dyDescent="0.35">
      <c r="A13" s="7" t="s">
        <v>136</v>
      </c>
      <c r="B13" s="10">
        <f>0.0005</f>
        <v>5.0000000000000001E-4</v>
      </c>
      <c r="C13" s="31">
        <f t="shared" si="0"/>
        <v>94.199999999999989</v>
      </c>
      <c r="D13" s="33">
        <f t="shared" si="1"/>
        <v>4.7099999999999996E-2</v>
      </c>
    </row>
    <row r="14" spans="1:8" x14ac:dyDescent="0.35">
      <c r="A14" s="7" t="s">
        <v>327</v>
      </c>
      <c r="B14" s="10">
        <v>0.1</v>
      </c>
      <c r="C14" s="31">
        <f t="shared" ref="C14" si="2">IF(ISERROR(VLOOKUP(A14,Tableau_produits,6,FALSE)),0,VLOOKUP(A14,Tableau_produits,6,FALSE))</f>
        <v>10.749999999999998</v>
      </c>
      <c r="D14" s="33">
        <f t="shared" ref="D14" si="3">C14*B14</f>
        <v>1.075</v>
      </c>
    </row>
    <row r="15" spans="1:8" x14ac:dyDescent="0.35">
      <c r="A15" s="7" t="s">
        <v>108</v>
      </c>
      <c r="B15" s="10">
        <v>0.04</v>
      </c>
      <c r="C15" s="31">
        <f t="shared" ref="C15" si="4">IF(ISERROR(VLOOKUP(A15,Tableau_produits,6,FALSE)),0,VLOOKUP(A15,Tableau_produits,6,FALSE))</f>
        <v>7.8533333333333326</v>
      </c>
      <c r="D15" s="33">
        <f t="shared" ref="D15" si="5">C15*B15</f>
        <v>0.31413333333333332</v>
      </c>
    </row>
    <row r="16" spans="1:8" x14ac:dyDescent="0.35">
      <c r="A16" s="13" t="s">
        <v>48</v>
      </c>
      <c r="B16" s="13"/>
      <c r="C16" s="13"/>
      <c r="D16" s="34">
        <f>SUM(D6:D15)</f>
        <v>11.514416666666666</v>
      </c>
    </row>
    <row r="17" spans="1:10" x14ac:dyDescent="0.35">
      <c r="A17" s="34" t="str">
        <f>"Coût par portion ("&amp;ROUND(C20*1000,0)&amp;"g)"</f>
        <v>Coût par portion (0g)</v>
      </c>
      <c r="B17" s="13"/>
      <c r="C17" s="13"/>
      <c r="D17" s="34">
        <f>IF(E20=0,0,D16/E20)</f>
        <v>2.3028833333333329</v>
      </c>
    </row>
    <row r="19" spans="1:10" ht="43.5" x14ac:dyDescent="0.35">
      <c r="A19" s="2" t="s">
        <v>90</v>
      </c>
      <c r="B19" s="28" t="s">
        <v>91</v>
      </c>
      <c r="C19" s="28" t="s">
        <v>94</v>
      </c>
      <c r="D19" s="28" t="s">
        <v>92</v>
      </c>
      <c r="E19" s="28" t="s">
        <v>95</v>
      </c>
    </row>
    <row r="20" spans="1:10" x14ac:dyDescent="0.35">
      <c r="A20" s="7" t="s">
        <v>93</v>
      </c>
      <c r="B20" s="7"/>
      <c r="C20" s="7">
        <v>0</v>
      </c>
      <c r="D20" s="30">
        <v>5</v>
      </c>
      <c r="E20" s="35">
        <f>TRUNC(D20)</f>
        <v>5</v>
      </c>
    </row>
    <row r="21" spans="1:10" s="38" customFormat="1" x14ac:dyDescent="0.35">
      <c r="A21" s="60"/>
      <c r="B21" s="60"/>
      <c r="C21" s="60"/>
      <c r="D21" s="64"/>
      <c r="E21" s="60"/>
    </row>
    <row r="22" spans="1:10" s="38" customFormat="1" x14ac:dyDescent="0.35">
      <c r="A22" s="71" t="s">
        <v>277</v>
      </c>
      <c r="B22" s="69"/>
      <c r="C22" s="81"/>
      <c r="D22" s="70"/>
      <c r="E22" s="69"/>
      <c r="F22" s="67"/>
      <c r="G22" s="67"/>
      <c r="H22" s="67"/>
    </row>
    <row r="23" spans="1:10" s="38" customFormat="1" x14ac:dyDescent="0.35">
      <c r="A23" s="60"/>
      <c r="B23" s="60"/>
      <c r="C23" s="60"/>
      <c r="D23" s="64"/>
      <c r="E23" s="60"/>
    </row>
    <row r="24" spans="1:10" s="38" customFormat="1" x14ac:dyDescent="0.35">
      <c r="A24" s="16" t="s">
        <v>273</v>
      </c>
      <c r="B24" s="2" t="s">
        <v>267</v>
      </c>
      <c r="C24" s="2" t="s">
        <v>268</v>
      </c>
      <c r="D24" s="2" t="s">
        <v>269</v>
      </c>
      <c r="E24" s="60"/>
    </row>
    <row r="25" spans="1:10" s="38" customFormat="1" x14ac:dyDescent="0.35">
      <c r="A25" s="7" t="s">
        <v>278</v>
      </c>
      <c r="B25" s="78">
        <v>8</v>
      </c>
      <c r="C25" s="24">
        <f>D17</f>
        <v>2.3028833333333329</v>
      </c>
      <c r="D25" s="35">
        <f>C25*B25</f>
        <v>18.423066666666664</v>
      </c>
      <c r="E25" s="60"/>
    </row>
    <row r="26" spans="1:10" s="38" customFormat="1" x14ac:dyDescent="0.35">
      <c r="A26" s="7" t="s">
        <v>279</v>
      </c>
      <c r="B26" s="79">
        <v>4</v>
      </c>
      <c r="C26" s="24">
        <f>C25</f>
        <v>2.3028833333333329</v>
      </c>
      <c r="D26" s="35">
        <f>C26*B26</f>
        <v>9.2115333333333318</v>
      </c>
      <c r="E26" s="60"/>
    </row>
    <row r="27" spans="1:10" s="38" customFormat="1" x14ac:dyDescent="0.35">
      <c r="A27" s="7" t="s">
        <v>280</v>
      </c>
      <c r="B27" s="72">
        <f>B25-B26</f>
        <v>4</v>
      </c>
      <c r="C27" s="66">
        <f>(D27/B27)*90%</f>
        <v>4.1451899999999995</v>
      </c>
      <c r="D27" s="35">
        <f>D25</f>
        <v>18.423066666666664</v>
      </c>
      <c r="E27" s="60"/>
      <c r="F27" s="83"/>
    </row>
    <row r="29" spans="1:10" x14ac:dyDescent="0.35">
      <c r="A29" s="16" t="s">
        <v>275</v>
      </c>
      <c r="B29" s="50" t="s">
        <v>235</v>
      </c>
      <c r="C29" s="45">
        <v>1</v>
      </c>
      <c r="D29" s="45">
        <v>2</v>
      </c>
      <c r="E29" s="45">
        <v>3</v>
      </c>
      <c r="F29" s="45">
        <v>4</v>
      </c>
      <c r="G29" s="46">
        <v>5</v>
      </c>
      <c r="H29" s="46">
        <v>6</v>
      </c>
      <c r="I29" s="46">
        <v>7</v>
      </c>
      <c r="J29" s="46">
        <v>8</v>
      </c>
    </row>
    <row r="30" spans="1:10" x14ac:dyDescent="0.35">
      <c r="A30" s="17" t="s">
        <v>51</v>
      </c>
      <c r="B30" s="53"/>
      <c r="C30" s="24">
        <f>$C$27*C29</f>
        <v>4.1451899999999995</v>
      </c>
      <c r="D30" s="24">
        <f t="shared" ref="D30:J30" si="6">$C$27*D29</f>
        <v>8.290379999999999</v>
      </c>
      <c r="E30" s="24">
        <f t="shared" si="6"/>
        <v>12.435569999999998</v>
      </c>
      <c r="F30" s="24">
        <f t="shared" si="6"/>
        <v>16.580759999999998</v>
      </c>
      <c r="G30" s="24">
        <f t="shared" si="6"/>
        <v>20.725949999999997</v>
      </c>
      <c r="H30" s="24">
        <f t="shared" si="6"/>
        <v>24.871139999999997</v>
      </c>
      <c r="I30" s="24">
        <f t="shared" si="6"/>
        <v>29.016329999999996</v>
      </c>
      <c r="J30" s="24">
        <f t="shared" si="6"/>
        <v>33.161519999999996</v>
      </c>
    </row>
    <row r="31" spans="1:10" x14ac:dyDescent="0.35">
      <c r="A31" s="16" t="s">
        <v>391</v>
      </c>
      <c r="B31" s="54">
        <v>1</v>
      </c>
      <c r="C31" s="24">
        <f>(($C$30+$B$31)+$C$52)*C29</f>
        <v>5.3628124749999992</v>
      </c>
      <c r="D31" s="24">
        <f t="shared" ref="D31:J31" si="7">(($C$30+$B$31)+$C$52)*D29</f>
        <v>10.725624949999998</v>
      </c>
      <c r="E31" s="24">
        <f t="shared" si="7"/>
        <v>16.088437424999999</v>
      </c>
      <c r="F31" s="24">
        <f t="shared" si="7"/>
        <v>21.451249899999997</v>
      </c>
      <c r="G31" s="24">
        <f t="shared" si="7"/>
        <v>26.814062374999995</v>
      </c>
      <c r="H31" s="24">
        <f t="shared" si="7"/>
        <v>32.176874849999997</v>
      </c>
      <c r="I31" s="24">
        <f t="shared" si="7"/>
        <v>37.539687324999996</v>
      </c>
      <c r="J31" s="24">
        <f t="shared" si="7"/>
        <v>42.902499799999994</v>
      </c>
    </row>
    <row r="32" spans="1:10" x14ac:dyDescent="0.35">
      <c r="A32" s="55" t="s">
        <v>380</v>
      </c>
      <c r="B32" s="56"/>
      <c r="C32" s="34">
        <f>C31+(C31*5.5%)</f>
        <v>5.6577671611249993</v>
      </c>
      <c r="D32" s="34">
        <f t="shared" ref="D32:J32" si="8">D31+(D31*5.5%)</f>
        <v>11.315534322249999</v>
      </c>
      <c r="E32" s="34">
        <f t="shared" si="8"/>
        <v>16.973301483375</v>
      </c>
      <c r="F32" s="34">
        <f t="shared" si="8"/>
        <v>22.631068644499997</v>
      </c>
      <c r="G32" s="34">
        <f t="shared" si="8"/>
        <v>28.288835805624995</v>
      </c>
      <c r="H32" s="34">
        <f t="shared" si="8"/>
        <v>33.94660296675</v>
      </c>
      <c r="I32" s="34">
        <f t="shared" si="8"/>
        <v>39.604370127874994</v>
      </c>
      <c r="J32" s="34">
        <f t="shared" si="8"/>
        <v>45.262137288999995</v>
      </c>
    </row>
    <row r="33" spans="1:10" s="38" customFormat="1" x14ac:dyDescent="0.35">
      <c r="A33" s="49" t="s">
        <v>233</v>
      </c>
      <c r="B33" s="15"/>
      <c r="C33" s="15"/>
      <c r="D33" s="15"/>
      <c r="E33" s="15"/>
      <c r="F33" s="15"/>
      <c r="G33" s="15"/>
    </row>
    <row r="34" spans="1:10" x14ac:dyDescent="0.35">
      <c r="A34" s="15"/>
      <c r="B34" s="14"/>
      <c r="C34" s="14"/>
      <c r="D34" s="14"/>
      <c r="E34" s="14"/>
    </row>
    <row r="35" spans="1:10" x14ac:dyDescent="0.35">
      <c r="A35" s="16" t="s">
        <v>49</v>
      </c>
      <c r="B35" s="56"/>
      <c r="C35" s="47">
        <v>1</v>
      </c>
      <c r="D35" s="47">
        <v>2</v>
      </c>
      <c r="E35" s="47">
        <v>3</v>
      </c>
      <c r="F35" s="47">
        <v>4</v>
      </c>
      <c r="G35" s="48">
        <v>5</v>
      </c>
      <c r="H35" s="48">
        <v>6</v>
      </c>
      <c r="I35" s="48">
        <v>7</v>
      </c>
      <c r="J35" s="48">
        <v>8</v>
      </c>
    </row>
    <row r="36" spans="1:10" x14ac:dyDescent="0.35">
      <c r="A36" s="17" t="s">
        <v>52</v>
      </c>
      <c r="B36" s="56"/>
      <c r="C36" s="24">
        <f>C30-($C$25*C35)</f>
        <v>1.8423066666666665</v>
      </c>
      <c r="D36" s="24">
        <f t="shared" ref="D36:H36" si="9">D30-($C$25*D35)</f>
        <v>3.6846133333333331</v>
      </c>
      <c r="E36" s="24">
        <f t="shared" si="9"/>
        <v>5.5269199999999996</v>
      </c>
      <c r="F36" s="24">
        <f t="shared" si="9"/>
        <v>7.3692266666666661</v>
      </c>
      <c r="G36" s="24">
        <f t="shared" si="9"/>
        <v>9.2115333333333318</v>
      </c>
      <c r="H36" s="24">
        <f t="shared" si="9"/>
        <v>11.053839999999999</v>
      </c>
      <c r="I36" s="24">
        <f t="shared" ref="I36:J36" si="10">I30-($C$25*I35)</f>
        <v>12.896146666666667</v>
      </c>
      <c r="J36" s="24">
        <f t="shared" si="10"/>
        <v>14.738453333333332</v>
      </c>
    </row>
    <row r="37" spans="1:10" x14ac:dyDescent="0.35">
      <c r="A37" s="17" t="s">
        <v>53</v>
      </c>
      <c r="B37" s="56"/>
      <c r="C37" s="24">
        <f>C31-C30</f>
        <v>1.2176224749999998</v>
      </c>
      <c r="D37" s="24">
        <f t="shared" ref="D37:H37" si="11">D31-D30</f>
        <v>2.4352449499999995</v>
      </c>
      <c r="E37" s="24">
        <f t="shared" si="11"/>
        <v>3.6528674250000002</v>
      </c>
      <c r="F37" s="24">
        <f t="shared" si="11"/>
        <v>4.870489899999999</v>
      </c>
      <c r="G37" s="24">
        <f t="shared" si="11"/>
        <v>6.0881123749999979</v>
      </c>
      <c r="H37" s="24">
        <f t="shared" si="11"/>
        <v>7.3057348500000003</v>
      </c>
      <c r="I37" s="24">
        <f t="shared" ref="I37:J37" si="12">I31-I30</f>
        <v>8.5233573249999992</v>
      </c>
      <c r="J37" s="24">
        <f t="shared" si="12"/>
        <v>9.7409797999999981</v>
      </c>
    </row>
    <row r="38" spans="1:10" s="38" customFormat="1" x14ac:dyDescent="0.35">
      <c r="A38" s="49" t="s">
        <v>234</v>
      </c>
      <c r="B38" s="15"/>
      <c r="C38" s="15"/>
      <c r="D38" s="15"/>
      <c r="E38" s="15"/>
      <c r="F38" s="15"/>
    </row>
    <row r="40" spans="1:10" x14ac:dyDescent="0.35">
      <c r="A40" s="2" t="s">
        <v>236</v>
      </c>
      <c r="B40" s="56"/>
      <c r="C40" s="47">
        <v>1</v>
      </c>
      <c r="D40" s="47">
        <v>2</v>
      </c>
      <c r="E40" s="47">
        <v>3</v>
      </c>
      <c r="F40" s="47">
        <v>4</v>
      </c>
      <c r="G40" s="48">
        <v>5</v>
      </c>
      <c r="H40" s="48">
        <v>6</v>
      </c>
      <c r="I40" s="48">
        <v>7</v>
      </c>
      <c r="J40" s="48">
        <v>8</v>
      </c>
    </row>
    <row r="41" spans="1:10" x14ac:dyDescent="0.35">
      <c r="A41" s="7" t="s">
        <v>238</v>
      </c>
      <c r="B41" s="56"/>
      <c r="C41" s="59">
        <f>IF($D$25=0,0,(C30)/$D$25)</f>
        <v>0.22500000000000001</v>
      </c>
      <c r="D41" s="59">
        <f t="shared" ref="D41:H41" si="13">IF($D$25=0,0,(D30)/$D$25)</f>
        <v>0.45</v>
      </c>
      <c r="E41" s="59">
        <f t="shared" si="13"/>
        <v>0.67500000000000004</v>
      </c>
      <c r="F41" s="59">
        <f t="shared" si="13"/>
        <v>0.9</v>
      </c>
      <c r="G41" s="59">
        <f t="shared" si="13"/>
        <v>1.125</v>
      </c>
      <c r="H41" s="59">
        <f t="shared" si="13"/>
        <v>1.35</v>
      </c>
      <c r="I41" s="59">
        <f t="shared" ref="I41:J41" si="14">IF($D$25=0,0,(I30)/$D$25)</f>
        <v>1.5750000000000002</v>
      </c>
      <c r="J41" s="59">
        <f t="shared" si="14"/>
        <v>1.8</v>
      </c>
    </row>
    <row r="42" spans="1:10" x14ac:dyDescent="0.35">
      <c r="A42" s="7" t="s">
        <v>237</v>
      </c>
      <c r="B42" s="56"/>
      <c r="C42" s="24">
        <f>C37</f>
        <v>1.2176224749999998</v>
      </c>
      <c r="D42" s="24">
        <f t="shared" ref="D42:H42" si="15">D37</f>
        <v>2.4352449499999995</v>
      </c>
      <c r="E42" s="24">
        <f t="shared" si="15"/>
        <v>3.6528674250000002</v>
      </c>
      <c r="F42" s="24">
        <f t="shared" si="15"/>
        <v>4.870489899999999</v>
      </c>
      <c r="G42" s="24">
        <f t="shared" si="15"/>
        <v>6.0881123749999979</v>
      </c>
      <c r="H42" s="24">
        <f t="shared" si="15"/>
        <v>7.3057348500000003</v>
      </c>
      <c r="I42" s="24">
        <f t="shared" ref="I42:J42" si="16">I37</f>
        <v>8.5233573249999992</v>
      </c>
      <c r="J42" s="24">
        <f t="shared" si="16"/>
        <v>9.7409797999999981</v>
      </c>
    </row>
    <row r="44" spans="1:10" s="60" customFormat="1" x14ac:dyDescent="0.35">
      <c r="A44" s="71" t="s">
        <v>384</v>
      </c>
      <c r="B44" s="76"/>
      <c r="C44" s="111"/>
      <c r="D44" s="111"/>
      <c r="E44" s="111"/>
      <c r="F44" s="111"/>
      <c r="G44" s="111"/>
      <c r="H44" s="111"/>
      <c r="I44" s="111"/>
      <c r="J44" s="111"/>
    </row>
    <row r="45" spans="1:10" s="60" customFormat="1" x14ac:dyDescent="0.35">
      <c r="B45" s="57"/>
      <c r="C45" s="15"/>
      <c r="D45" s="15"/>
      <c r="E45" s="15"/>
      <c r="F45" s="15"/>
      <c r="G45" s="15"/>
      <c r="H45" s="15"/>
      <c r="I45" s="15"/>
      <c r="J45" s="15"/>
    </row>
    <row r="46" spans="1:10" s="60" customFormat="1" ht="43.5" x14ac:dyDescent="0.35">
      <c r="A46" s="109" t="s">
        <v>385</v>
      </c>
      <c r="B46" s="112">
        <v>0.15</v>
      </c>
      <c r="C46" s="48">
        <v>1</v>
      </c>
      <c r="D46" s="48">
        <v>2</v>
      </c>
      <c r="E46" s="48">
        <v>3</v>
      </c>
      <c r="F46" s="48">
        <v>4</v>
      </c>
      <c r="G46" s="48">
        <v>5</v>
      </c>
      <c r="H46" s="48">
        <v>6</v>
      </c>
      <c r="I46" s="48">
        <v>7</v>
      </c>
      <c r="J46" s="48">
        <v>8</v>
      </c>
    </row>
    <row r="47" spans="1:10" s="60" customFormat="1" x14ac:dyDescent="0.35">
      <c r="A47" s="11" t="s">
        <v>382</v>
      </c>
      <c r="B47" s="110"/>
      <c r="C47" s="24">
        <f>($C$25-$C$25*5.5%)*C46</f>
        <v>2.1762247499999998</v>
      </c>
      <c r="D47" s="24">
        <f t="shared" ref="D47:J47" si="17">($C$25-$C$25*5.5%)*D46</f>
        <v>4.3524494999999996</v>
      </c>
      <c r="E47" s="24">
        <f t="shared" si="17"/>
        <v>6.5286742499999999</v>
      </c>
      <c r="F47" s="24">
        <f t="shared" si="17"/>
        <v>8.7048989999999993</v>
      </c>
      <c r="G47" s="24">
        <f t="shared" si="17"/>
        <v>10.881123749999999</v>
      </c>
      <c r="H47" s="24">
        <f t="shared" si="17"/>
        <v>13.0573485</v>
      </c>
      <c r="I47" s="24">
        <f t="shared" si="17"/>
        <v>15.233573249999999</v>
      </c>
      <c r="J47" s="24">
        <f t="shared" si="17"/>
        <v>17.409797999999999</v>
      </c>
    </row>
    <row r="48" spans="1:10" s="60" customFormat="1" x14ac:dyDescent="0.35">
      <c r="A48" s="11" t="s">
        <v>281</v>
      </c>
      <c r="B48" s="16"/>
      <c r="C48" s="115">
        <f>C47*$B$46</f>
        <v>0.32643371249999997</v>
      </c>
      <c r="D48" s="115">
        <f t="shared" ref="D48:J48" si="18">D47*$B$46</f>
        <v>0.65286742499999995</v>
      </c>
      <c r="E48" s="115">
        <f t="shared" si="18"/>
        <v>0.97930113749999992</v>
      </c>
      <c r="F48" s="115">
        <f t="shared" si="18"/>
        <v>1.3057348499999999</v>
      </c>
      <c r="G48" s="115">
        <f t="shared" si="18"/>
        <v>1.6321685624999998</v>
      </c>
      <c r="H48" s="115">
        <f t="shared" si="18"/>
        <v>1.9586022749999998</v>
      </c>
      <c r="I48" s="115">
        <f t="shared" si="18"/>
        <v>2.2850359874999997</v>
      </c>
      <c r="J48" s="115">
        <f t="shared" si="18"/>
        <v>2.6114696999999998</v>
      </c>
    </row>
    <row r="49" spans="1:10" s="60" customFormat="1" x14ac:dyDescent="0.35">
      <c r="B49" s="57"/>
      <c r="C49" s="114"/>
      <c r="D49" s="114"/>
      <c r="E49" s="114"/>
      <c r="F49" s="114"/>
      <c r="G49" s="114"/>
      <c r="H49" s="114"/>
      <c r="I49" s="114"/>
      <c r="J49" s="114"/>
    </row>
    <row r="50" spans="1:10" s="60" customFormat="1" ht="43.5" x14ac:dyDescent="0.35">
      <c r="A50" s="109" t="s">
        <v>394</v>
      </c>
      <c r="B50" s="112">
        <v>0.1</v>
      </c>
      <c r="C50" s="48">
        <v>1</v>
      </c>
      <c r="D50" s="48">
        <v>2</v>
      </c>
      <c r="E50" s="48">
        <v>3</v>
      </c>
      <c r="F50" s="48">
        <v>4</v>
      </c>
      <c r="G50" s="48">
        <v>5</v>
      </c>
      <c r="H50" s="48">
        <v>6</v>
      </c>
      <c r="I50" s="48">
        <v>7</v>
      </c>
      <c r="J50" s="48">
        <v>8</v>
      </c>
    </row>
    <row r="51" spans="1:10" s="60" customFormat="1" x14ac:dyDescent="0.35">
      <c r="A51" s="11" t="s">
        <v>382</v>
      </c>
      <c r="B51" s="16"/>
      <c r="C51" s="24">
        <f>($C$25-$C$25*5.5%)*C50</f>
        <v>2.1762247499999998</v>
      </c>
      <c r="D51" s="24">
        <f t="shared" ref="D51:J51" si="19">($C$25-$C$25*5.5%)*D50</f>
        <v>4.3524494999999996</v>
      </c>
      <c r="E51" s="24">
        <f t="shared" si="19"/>
        <v>6.5286742499999999</v>
      </c>
      <c r="F51" s="24">
        <f t="shared" si="19"/>
        <v>8.7048989999999993</v>
      </c>
      <c r="G51" s="24">
        <f t="shared" si="19"/>
        <v>10.881123749999999</v>
      </c>
      <c r="H51" s="24">
        <f t="shared" si="19"/>
        <v>13.0573485</v>
      </c>
      <c r="I51" s="24">
        <f t="shared" si="19"/>
        <v>15.233573249999999</v>
      </c>
      <c r="J51" s="24">
        <f t="shared" si="19"/>
        <v>17.409797999999999</v>
      </c>
    </row>
    <row r="52" spans="1:10" s="60" customFormat="1" x14ac:dyDescent="0.35">
      <c r="A52" s="11" t="s">
        <v>386</v>
      </c>
      <c r="B52" s="16"/>
      <c r="C52" s="113">
        <f>C51*$B$50</f>
        <v>0.21762247499999998</v>
      </c>
      <c r="D52" s="113">
        <f t="shared" ref="D52:J52" si="20">D51*$B$50</f>
        <v>0.43524494999999996</v>
      </c>
      <c r="E52" s="113">
        <f t="shared" si="20"/>
        <v>0.65286742500000006</v>
      </c>
      <c r="F52" s="113">
        <f t="shared" si="20"/>
        <v>0.87048989999999993</v>
      </c>
      <c r="G52" s="113">
        <f t="shared" si="20"/>
        <v>1.0881123749999999</v>
      </c>
      <c r="H52" s="113">
        <f t="shared" si="20"/>
        <v>1.3057348500000001</v>
      </c>
      <c r="I52" s="113">
        <f t="shared" si="20"/>
        <v>1.5233573250000001</v>
      </c>
      <c r="J52" s="113">
        <f t="shared" si="20"/>
        <v>1.7409797999999999</v>
      </c>
    </row>
    <row r="53" spans="1:10" s="60" customFormat="1" x14ac:dyDescent="0.35">
      <c r="A53" s="11" t="s">
        <v>387</v>
      </c>
      <c r="B53" s="16"/>
      <c r="C53" s="113">
        <f>C42-C52</f>
        <v>0.99999999999999978</v>
      </c>
      <c r="D53" s="113">
        <f t="shared" ref="D53:J53" si="21">D42-D52</f>
        <v>1.9999999999999996</v>
      </c>
      <c r="E53" s="113">
        <f t="shared" si="21"/>
        <v>3</v>
      </c>
      <c r="F53" s="113">
        <f t="shared" si="21"/>
        <v>3.9999999999999991</v>
      </c>
      <c r="G53" s="113">
        <f t="shared" si="21"/>
        <v>4.9999999999999982</v>
      </c>
      <c r="H53" s="113">
        <f t="shared" si="21"/>
        <v>6</v>
      </c>
      <c r="I53" s="113">
        <f t="shared" si="21"/>
        <v>6.9999999999999991</v>
      </c>
      <c r="J53" s="113">
        <f t="shared" si="21"/>
        <v>7.9999999999999982</v>
      </c>
    </row>
    <row r="55" spans="1:10" x14ac:dyDescent="0.35">
      <c r="A55" s="68" t="s">
        <v>416</v>
      </c>
      <c r="B55" s="67"/>
      <c r="C55" s="67"/>
      <c r="D55" s="67"/>
      <c r="E55" s="67"/>
      <c r="F55" s="67"/>
      <c r="G55" s="67"/>
      <c r="H55" s="67"/>
      <c r="I55" s="67"/>
      <c r="J55" s="67"/>
    </row>
    <row r="57" spans="1:10" x14ac:dyDescent="0.35">
      <c r="A57" s="117" t="s">
        <v>389</v>
      </c>
      <c r="B57" s="118"/>
    </row>
    <row r="58" spans="1:10" x14ac:dyDescent="0.35">
      <c r="A58" s="116" t="s">
        <v>393</v>
      </c>
      <c r="B58" s="119">
        <f>J48</f>
        <v>2.6114696999999998</v>
      </c>
    </row>
    <row r="59" spans="1:10" x14ac:dyDescent="0.35">
      <c r="A59" s="42" t="s">
        <v>392</v>
      </c>
      <c r="B59" s="91">
        <f>F42</f>
        <v>4.870489899999999</v>
      </c>
    </row>
    <row r="60" spans="1:10" x14ac:dyDescent="0.35">
      <c r="A60" s="120" t="s">
        <v>48</v>
      </c>
      <c r="B60" s="13">
        <f>SUM(B58:B59)</f>
        <v>7.4819595999999988</v>
      </c>
    </row>
    <row r="62" spans="1:10" x14ac:dyDescent="0.35">
      <c r="A62" s="117" t="s">
        <v>390</v>
      </c>
      <c r="B62" s="118"/>
    </row>
    <row r="63" spans="1:10" x14ac:dyDescent="0.35">
      <c r="A63" s="116" t="s">
        <v>393</v>
      </c>
      <c r="B63" s="119">
        <f>J48</f>
        <v>2.6114696999999998</v>
      </c>
    </row>
    <row r="64" spans="1:10" x14ac:dyDescent="0.35">
      <c r="A64" s="42" t="s">
        <v>392</v>
      </c>
      <c r="B64" s="91">
        <f>F53</f>
        <v>3.9999999999999991</v>
      </c>
    </row>
    <row r="65" spans="1:10" x14ac:dyDescent="0.35">
      <c r="A65" s="120" t="s">
        <v>48</v>
      </c>
      <c r="B65" s="13">
        <f>SUM(B63:B64)</f>
        <v>6.6114696999999989</v>
      </c>
    </row>
    <row r="66" spans="1:10" x14ac:dyDescent="0.35">
      <c r="A66" s="121"/>
      <c r="B66" s="122"/>
    </row>
    <row r="67" spans="1:10" x14ac:dyDescent="0.35">
      <c r="A67" s="68" t="s">
        <v>422</v>
      </c>
      <c r="B67" s="67"/>
      <c r="C67" s="67"/>
      <c r="D67" s="67"/>
      <c r="E67" s="67"/>
      <c r="F67" s="67"/>
      <c r="G67" s="67"/>
      <c r="H67" s="67"/>
      <c r="I67" s="67"/>
      <c r="J67" s="67"/>
    </row>
    <row r="69" spans="1:10" x14ac:dyDescent="0.35">
      <c r="A69" s="117" t="s">
        <v>389</v>
      </c>
      <c r="B69" s="118"/>
    </row>
    <row r="70" spans="1:10" x14ac:dyDescent="0.35">
      <c r="A70" s="42" t="s">
        <v>405</v>
      </c>
      <c r="B70" s="91">
        <f>D25</f>
        <v>18.423066666666664</v>
      </c>
    </row>
    <row r="71" spans="1:10" x14ac:dyDescent="0.35">
      <c r="A71" s="116" t="s">
        <v>393</v>
      </c>
      <c r="B71" s="119">
        <f>0-J48</f>
        <v>-2.6114696999999998</v>
      </c>
    </row>
    <row r="72" spans="1:10" x14ac:dyDescent="0.35">
      <c r="A72" s="120" t="s">
        <v>48</v>
      </c>
      <c r="B72" s="13">
        <f>SUM(B70:B71)</f>
        <v>15.811596966666663</v>
      </c>
    </row>
    <row r="74" spans="1:10" x14ac:dyDescent="0.35">
      <c r="A74" s="133" t="s">
        <v>390</v>
      </c>
      <c r="B74" s="134"/>
    </row>
    <row r="75" spans="1:10" x14ac:dyDescent="0.35">
      <c r="A75" s="42" t="s">
        <v>405</v>
      </c>
      <c r="B75" s="91">
        <f>D25</f>
        <v>18.423066666666664</v>
      </c>
    </row>
    <row r="76" spans="1:10" x14ac:dyDescent="0.35">
      <c r="A76" s="42" t="s">
        <v>393</v>
      </c>
      <c r="B76" s="91">
        <f>0-J48</f>
        <v>-2.6114696999999998</v>
      </c>
    </row>
    <row r="77" spans="1:10" x14ac:dyDescent="0.35">
      <c r="A77" s="42" t="s">
        <v>406</v>
      </c>
      <c r="B77" s="91">
        <f>F52</f>
        <v>0.87048989999999993</v>
      </c>
    </row>
    <row r="78" spans="1:10" x14ac:dyDescent="0.35">
      <c r="A78" s="120" t="s">
        <v>48</v>
      </c>
      <c r="B78" s="13">
        <f>SUM(B75:B77)</f>
        <v>16.682086866666662</v>
      </c>
    </row>
    <row r="79" spans="1:10" x14ac:dyDescent="0.35">
      <c r="A79" s="121"/>
      <c r="B79" s="122"/>
    </row>
    <row r="80" spans="1:10" x14ac:dyDescent="0.35">
      <c r="A80" s="37" t="s">
        <v>96</v>
      </c>
      <c r="B80" s="38"/>
    </row>
    <row r="83" spans="1:2" x14ac:dyDescent="0.35">
      <c r="A83" s="2" t="s">
        <v>67</v>
      </c>
      <c r="B83" s="7"/>
    </row>
    <row r="84" spans="1:2" x14ac:dyDescent="0.35">
      <c r="A84" s="7" t="s">
        <v>116</v>
      </c>
      <c r="B84" s="7">
        <v>20</v>
      </c>
    </row>
    <row r="85" spans="1:2" x14ac:dyDescent="0.35">
      <c r="A85" s="7" t="s">
        <v>140</v>
      </c>
      <c r="B85" s="7">
        <v>0</v>
      </c>
    </row>
    <row r="87" spans="1:2" x14ac:dyDescent="0.35">
      <c r="A87" s="39" t="s">
        <v>115</v>
      </c>
      <c r="B87" s="40"/>
    </row>
    <row r="89" spans="1:2" x14ac:dyDescent="0.35">
      <c r="A89" t="s">
        <v>331</v>
      </c>
    </row>
    <row r="90" spans="1:2" x14ac:dyDescent="0.35">
      <c r="A90" t="s">
        <v>328</v>
      </c>
    </row>
    <row r="91" spans="1:2" x14ac:dyDescent="0.35">
      <c r="A91" t="s">
        <v>329</v>
      </c>
    </row>
    <row r="92" spans="1:2" x14ac:dyDescent="0.35">
      <c r="A92" t="s">
        <v>330</v>
      </c>
    </row>
    <row r="94" spans="1:2" x14ac:dyDescent="0.35">
      <c r="A94" t="s">
        <v>332</v>
      </c>
    </row>
  </sheetData>
  <phoneticPr fontId="5" type="noConversion"/>
  <conditionalFormatting sqref="C41:J41">
    <cfRule type="cellIs" dxfId="144" priority="7" operator="greaterThanOrEqual">
      <formula>1</formula>
    </cfRule>
    <cfRule type="cellIs" dxfId="143" priority="8" operator="between">
      <formula>0.5</formula>
      <formula>1</formula>
    </cfRule>
  </conditionalFormatting>
  <conditionalFormatting sqref="C42:J42">
    <cfRule type="cellIs" dxfId="142" priority="5" operator="greaterThanOrEqual">
      <formula>4</formula>
    </cfRule>
    <cfRule type="cellIs" dxfId="141" priority="6" operator="greaterThanOrEqual">
      <formula>2</formula>
    </cfRule>
  </conditionalFormatting>
  <conditionalFormatting sqref="C52:J52">
    <cfRule type="cellIs" dxfId="140" priority="4" operator="greaterThanOrEqual">
      <formula>$J$48</formula>
    </cfRule>
  </conditionalFormatting>
  <conditionalFormatting sqref="C53:J53">
    <cfRule type="cellIs" dxfId="139" priority="2" operator="between">
      <formula>2</formula>
      <formula>4</formula>
    </cfRule>
    <cfRule type="cellIs" dxfId="138" priority="3" operator="greaterThanOrEqual">
      <formula>4</formula>
    </cfRule>
  </conditionalFormatting>
  <conditionalFormatting sqref="C48:J48">
    <cfRule type="cellIs" dxfId="137" priority="1" operator="greaterThanOrEqual">
      <formula>0.5</formula>
    </cfRule>
  </conditionalFormatting>
  <dataValidations count="1">
    <dataValidation type="list" allowBlank="1" showInputMessage="1" showErrorMessage="1" sqref="F6 A6:A15">
      <formula1>Ingrédients_recettes</formula1>
    </dataValidation>
  </dataValidations>
  <pageMargins left="0.7" right="0.7" top="0.75" bottom="0.75" header="0.3" footer="0.3"/>
  <pageSetup paperSize="9" scale="59" orientation="portrait" horizontalDpi="4294967293" verticalDpi="4294967293"/>
  <extLs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26</vt:i4>
      </vt:variant>
      <vt:variant>
        <vt:lpstr>Plages nommées</vt:lpstr>
      </vt:variant>
      <vt:variant>
        <vt:i4>25</vt:i4>
      </vt:variant>
    </vt:vector>
  </HeadingPairs>
  <TitlesOfParts>
    <vt:vector size="51" baseType="lpstr">
      <vt:lpstr>Produits</vt:lpstr>
      <vt:lpstr>Modele recette</vt:lpstr>
      <vt:lpstr>Synthese</vt:lpstr>
      <vt:lpstr>PP1 - Tarte tomates-moutarde</vt:lpstr>
      <vt:lpstr>PP2 - Pâtes champ-lard</vt:lpstr>
      <vt:lpstr>PP3 - Tortellini tomates-creme</vt:lpstr>
      <vt:lpstr>PP4 - Curry lentilles poulet</vt:lpstr>
      <vt:lpstr>PP5 - Soupe de boeuf</vt:lpstr>
      <vt:lpstr>PP6 - Spaghetti bolognaise</vt:lpstr>
      <vt:lpstr>PP7 - Blanquette veau</vt:lpstr>
      <vt:lpstr>PP8 - Risotto cepes</vt:lpstr>
      <vt:lpstr>PP9 - Rougail saucisse</vt:lpstr>
      <vt:lpstr>PP10 - Gnocchi à la dinde</vt:lpstr>
      <vt:lpstr>PP11 - Wok exotique</vt:lpstr>
      <vt:lpstr>PP12 - Rostbeef moutarde</vt:lpstr>
      <vt:lpstr>PP13 - Truite amandes</vt:lpstr>
      <vt:lpstr>PP14 - Blanquette poisson</vt:lpstr>
      <vt:lpstr>PP15 - Roti d'agneau</vt:lpstr>
      <vt:lpstr>PP16 - Agneau curry-citron</vt:lpstr>
      <vt:lpstr>PP17 Tajine poulet (marocain)</vt:lpstr>
      <vt:lpstr>PP18 Pintade curcuma</vt:lpstr>
      <vt:lpstr>DP1 - Macarons framboise</vt:lpstr>
      <vt:lpstr>DP2 - Crêpes</vt:lpstr>
      <vt:lpstr>DP3 - Gaufres</vt:lpstr>
      <vt:lpstr>DP3 - Kaiserschmarrn</vt:lpstr>
      <vt:lpstr>V1 - Brioche</vt:lpstr>
      <vt:lpstr>Ingrédients_recettes</vt:lpstr>
      <vt:lpstr>Tableau_produits</vt:lpstr>
      <vt:lpstr>'DP1 - Macarons framboise'!Zone_d_impression</vt:lpstr>
      <vt:lpstr>'DP2 - Crêpes'!Zone_d_impression</vt:lpstr>
      <vt:lpstr>'DP3 - Gaufres'!Zone_d_impression</vt:lpstr>
      <vt:lpstr>'DP3 - Kaiserschmarrn'!Zone_d_impression</vt:lpstr>
      <vt:lpstr>'Modele recette'!Zone_d_impression</vt:lpstr>
      <vt:lpstr>'PP1 - Tarte tomates-moutarde'!Zone_d_impression</vt:lpstr>
      <vt:lpstr>'PP10 - Gnocchi à la dinde'!Zone_d_impression</vt:lpstr>
      <vt:lpstr>'PP11 - Wok exotique'!Zone_d_impression</vt:lpstr>
      <vt:lpstr>'PP12 - Rostbeef moutarde'!Zone_d_impression</vt:lpstr>
      <vt:lpstr>'PP13 - Truite amandes'!Zone_d_impression</vt:lpstr>
      <vt:lpstr>'PP14 - Blanquette poisson'!Zone_d_impression</vt:lpstr>
      <vt:lpstr>'PP16 - Agneau curry-citron'!Zone_d_impression</vt:lpstr>
      <vt:lpstr>'PP17 Tajine poulet (marocain)'!Zone_d_impression</vt:lpstr>
      <vt:lpstr>'PP18 Pintade curcuma'!Zone_d_impression</vt:lpstr>
      <vt:lpstr>'PP2 - Pâtes champ-lard'!Zone_d_impression</vt:lpstr>
      <vt:lpstr>'PP4 - Curry lentilles poulet'!Zone_d_impression</vt:lpstr>
      <vt:lpstr>'PP5 - Soupe de boeuf'!Zone_d_impression</vt:lpstr>
      <vt:lpstr>'PP6 - Spaghetti bolognaise'!Zone_d_impression</vt:lpstr>
      <vt:lpstr>'PP7 - Blanquette veau'!Zone_d_impression</vt:lpstr>
      <vt:lpstr>'PP8 - Risotto cepes'!Zone_d_impression</vt:lpstr>
      <vt:lpstr>'PP9 - Rougail saucisse'!Zone_d_impression</vt:lpstr>
      <vt:lpstr>Synthese!Zone_d_impression</vt:lpstr>
      <vt:lpstr>'V1 - Brioche'!Zone_d_impression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 EBENBURGER</dc:creator>
  <cp:lastModifiedBy>Nicola EBENBURGER</cp:lastModifiedBy>
  <cp:lastPrinted>2018-01-19T08:59:34Z</cp:lastPrinted>
  <dcterms:created xsi:type="dcterms:W3CDTF">2017-12-27T16:46:36Z</dcterms:created>
  <dcterms:modified xsi:type="dcterms:W3CDTF">2018-03-11T17:07:57Z</dcterms:modified>
</cp:coreProperties>
</file>